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F384777B-0BED-410F-9F39-D89B4D3184B1}" xr6:coauthVersionLast="47" xr6:coauthVersionMax="47" xr10:uidLastSave="{00000000-0000-0000-0000-000000000000}"/>
  <bookViews>
    <workbookView xWindow="1305" yWindow="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47" i="5"/>
  <c r="BD49" i="5"/>
  <c r="AE41" i="5"/>
  <c r="AE28" i="5"/>
  <c r="H32" i="5"/>
  <c r="AE36" i="5"/>
  <c r="D32" i="5"/>
  <c r="E32" i="5"/>
  <c r="AE34" i="5"/>
  <c r="AE53" i="5"/>
  <c r="B44" i="22"/>
  <c r="AE78" i="5"/>
  <c r="AE33" i="5"/>
  <c r="BD36" i="5"/>
  <c r="AE47" i="5"/>
  <c r="AE83" i="5"/>
  <c r="BD55" i="5"/>
  <c r="BD27" i="5" l="1"/>
  <c r="BD53" i="5"/>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F29" i="15"/>
  <c r="F30" i="15"/>
  <c r="F33" i="15"/>
  <c r="D24" i="15"/>
  <c r="Z27" i="15" l="1"/>
  <c r="Z24" i="15" s="1"/>
  <c r="F31" i="15"/>
  <c r="R27" i="15"/>
  <c r="R24" i="15" s="1"/>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<sst xmlns="http://schemas.openxmlformats.org/spreadsheetml/2006/main" count="4455" uniqueCount="599">
  <si>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</si>
  <si>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</si>
  <si>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</si>
  <si>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</si>
  <si>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</si>
  <si>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</si>
  <si>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</si>
  <si>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</si>
  <si>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</si>
  <si>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</si>
  <si>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</si>
  <si>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</si>
  <si>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</si>
  <si>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</si>
  <si>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</si>
  <si>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</si>
  <si>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</si>
  <si>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</si>
  <si>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</si>
  <si>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</si>
  <si>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</si>
  <si>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</si>
  <si>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</si>
  <si>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</si>
  <si>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</si>
  <si>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</si>
  <si>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</si>
  <si>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</si>
  <si>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</si>
  <si>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</si>
  <si>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</si>
  <si>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</si>
  <si>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</si>
  <si>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</si>
  <si>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</si>
  <si>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</si>
  <si>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</si>
  <si>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</si>
  <si>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</si>
  <si>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</si>
  <si>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</si>
  <si>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</si>
  <si>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</si>
  <si>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</si>
  <si>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</si>
  <si>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</si>
  <si>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</si>
  <si>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</si>
  <si>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</si>
  <si>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</si>
  <si>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</si>
  <si>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</si>
  <si>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</si>
  <si>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</si>
  <si>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</si>
  <si>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</si>
  <si>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</si>
  <si>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</si>
  <si>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</si>
  <si>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</si>
  <si>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</si>
  <si>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</si>
  <si>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</si>
  <si>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</si>
  <si>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</si>
  <si>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</si>
  <si>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</si>
  <si>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</si>
  <si>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</si>
  <si>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</si>
  <si>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</si>
  <si>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</si>
  <si>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</si>
  <si>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</si>
  <si>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</si>
  <si>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</si>
  <si>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</si>
  <si>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</si>
  <si>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</si>
  <si>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</si>
  <si>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</si>
  <si>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</si>
  <si>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</si>
  <si>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</si>
  <si>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</si>
  <si>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</si>
  <si>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</si>
  <si>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</si>
  <si>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</si>
  <si>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</si>
  <si>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</si>
  <si>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</si>
  <si>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</si>
  <si>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</si>
  <si>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</si>
  <si>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</si>
  <si>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</si>
  <si>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</si>
  <si>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</si>
  <si>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</si>
  <si>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</si>
  <si>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</si>
  <si>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</si>
  <si>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</si>
  <si>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</si>
  <si>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</si>
  <si>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</si>
  <si>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</si>
  <si>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</si>
  <si>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</si>
  <si>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</si>
  <si>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</si>
  <si>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</si>
  <si>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</si>
  <si>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</si>
  <si>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</si>
  <si>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</si>
  <si>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</si>
  <si>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</si>
  <si>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</si>
  <si>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</si>
  <si>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</si>
  <si>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</si>
  <si>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</si>
  <si>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</si>
  <si>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</si>
  <si>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</si>
  <si>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</si>
  <si>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</si>
  <si>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</si>
  <si>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</si>
  <si>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</si>
  <si>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</si>
  <si>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</si>
  <si>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</si>
  <si>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</si>
  <si>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</si>
  <si>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</si>
  <si>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</si>
  <si>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</si>
  <si>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</si>
  <si>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</si>
  <si>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</si>
  <si>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</si>
  <si>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</si>
  <si>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</si>
  <si>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</si>
  <si>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</si>
  <si>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</si>
  <si>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</si>
  <si>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</si>
  <si>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</si>
  <si>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</si>
  <si>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</si>
  <si>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</si>
  <si>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</si>
  <si>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</si>
  <si>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</si>
  <si>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</si>
  <si>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</si>
  <si>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</si>
  <si>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</si>
  <si>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</si>
  <si>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</si>
  <si>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</si>
  <si>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</si>
  <si>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</si>
  <si>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</si>
  <si>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</si>
  <si>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</si>
  <si>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</si>
  <si>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</si>
  <si>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</si>
  <si>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</si>
  <si>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</si>
  <si>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</si>
  <si>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</si>
  <si>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</si>
  <si>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</si>
  <si>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</si>
  <si>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</si>
  <si>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</si>
  <si>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</si>
  <si>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</si>
  <si>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</si>
  <si>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</si>
  <si>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</si>
  <si>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</si>
  <si>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</si>
  <si>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</si>
  <si>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</si>
  <si>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</si>
  <si>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</si>
  <si>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</si>
  <si>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</si>
  <si>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</si>
  <si>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</si>
  <si>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</si>
  <si>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</si>
  <si>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</si>
  <si>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</si>
  <si>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</si>
  <si>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</si>
  <si>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</si>
  <si>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</si>
  <si>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</si>
  <si>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</si>
  <si>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</si>
  <si>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</si>
  <si>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</si>
  <si>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</si>
  <si>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</si>
  <si>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</si>
  <si>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</si>
  <si>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</si>
  <si>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</si>
  <si>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</si>
  <si>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</si>
  <si>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</si>
  <si>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</si>
  <si>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</si>
  <si>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</si>
  <si>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</si>
  <si>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</si>
  <si>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</si>
  <si>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</si>
  <si>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</si>
  <si>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</si>
  <si>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</si>
  <si>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</si>
  <si>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</si>
  <si>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</si>
  <si>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</si>
  <si>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</si>
  <si>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</si>
  <si>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</si>
  <si>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</si>
  <si>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</si>
  <si>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</si>
  <si>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</si>
  <si>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</si>
  <si>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</si>
  <si>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</si>
  <si>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</si>
  <si>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</si>
  <si>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</si>
  <si>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</si>
  <si>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</si>
  <si>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</si>
  <si>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</si>
  <si>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</si>
  <si>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</si>
  <si>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</si>
  <si>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</si>
  <si>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</si>
  <si>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</si>
  <si>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</si>
  <si>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</si>
  <si>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</si>
  <si>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</si>
  <si>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</si>
  <si>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</si>
  <si>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</si>
  <si>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</si>
  <si>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</si>
  <si>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</si>
  <si>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</si>
  <si>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</si>
  <si>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</si>
  <si>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</si>
  <si>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</si>
  <si>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</si>
  <si>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</si>
  <si>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</si>
  <si>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</si>
  <si>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</si>
  <si>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</si>
  <si>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</si>
  <si>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</si>
  <si>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</si>
  <si>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</si>
  <si>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</si>
  <si>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</si>
  <si>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</si>
  <si>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</si>
  <si>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</si>
  <si>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</si>
  <si>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</si>
  <si>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</si>
  <si>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</si>
  <si>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</si>
  <si>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</si>
  <si>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</si>
  <si>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</si>
  <si>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</si>
  <si>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</si>
  <si>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</si>
  <si>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</si>
  <si>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</si>
  <si>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</si>
  <si>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</si>
  <si>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</si>
  <si>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</si>
  <si>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</si>
  <si>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</si>
  <si>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</si>
  <si>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</si>
  <si>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</si>
  <si>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</si>
  <si>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</si>
  <si>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</si>
  <si>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</si>
  <si>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</si>
  <si>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</si>
  <si>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</si>
  <si>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</si>
  <si>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</si>
  <si>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</si>
  <si>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</si>
  <si>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</si>
  <si>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</si>
  <si>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</si>
  <si>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</si>
  <si>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</si>
  <si>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</si>
  <si>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</si>
  <si>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</si>
  <si>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</si>
  <si>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</si>
  <si>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</si>
  <si>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</si>
  <si>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</si>
  <si>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</si>
  <si>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</si>
  <si>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</si>
  <si>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</si>
  <si>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</si>
  <si>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</si>
  <si>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</si>
  <si>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</si>
  <si>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</si>
  <si>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</si>
  <si>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</si>
  <si>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</si>
  <si>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</si>
  <si>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</si>
  <si>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</si>
  <si>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</si>
  <si>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</si>
  <si>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</si>
  <si>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</si>
  <si>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</si>
  <si>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</si>
  <si>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</si>
  <si>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</si>
  <si>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</si>
  <si>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</si>
  <si>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</si>
  <si>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</si>
  <si>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</si>
  <si>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</si>
  <si>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</si>
  <si>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</si>
  <si>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</si>
  <si>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</si>
  <si>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</si>
  <si>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</si>
  <si>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</si>
  <si>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</si>
  <si>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</si>
  <si>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</si>
  <si>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</si>
  <si>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</si>
  <si>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</si>
  <si>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</si>
  <si>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</si>
  <si>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</si>
  <si>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</si>
  <si>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</si>
  <si>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</si>
  <si>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</si>
  <si>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</si>
  <si>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</si>
  <si>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</si>
  <si>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</si>
  <si>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</si>
  <si>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</si>
  <si>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</si>
  <si>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</si>
  <si>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</si>
  <si>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</si>
  <si>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</si>
  <si>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</si>
  <si>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</si>
  <si>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</si>
  <si>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</si>
  <si>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</si>
  <si>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</si>
  <si>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</si>
  <si>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</si>
  <si>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</si>
  <si>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</si>
  <si>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</si>
  <si>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</si>
  <si>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</si>
  <si>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</si>
  <si>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</si>
  <si>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</si>
  <si>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</si>
  <si>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</si>
  <si>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</si>
  <si>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</si>
  <si>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</si>
  <si>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</si>
  <si>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</si>
  <si>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</si>
  <si>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</si>
  <si>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</si>
  <si>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</si>
  <si>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</si>
  <si>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</si>
  <si>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</si>
  <si>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</si>
  <si>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</si>
  <si>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</si>
  <si>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</si>
  <si>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</si>
  <si>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</si>
  <si>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</si>
  <si>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</si>
  <si>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</si>
  <si>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</si>
  <si>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</si>
  <si>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</si>
  <si>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</si>
  <si>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</si>
  <si>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</si>
  <si>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</si>
  <si>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</si>
  <si>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</si>
  <si>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</si>
  <si>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</si>
  <si>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</si>
  <si>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Утвержденный план</t>
  </si>
  <si>
    <t>Предложение по корректировке утвержденного плана</t>
  </si>
  <si>
    <t>M_00.0006.000006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</si>
  <si>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</si>
  <si>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</si>
  <si>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</si>
  <si>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</si>
  <si>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</si>
  <si>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</si>
  <si>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</si>
  <si>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</si>
  <si>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</si>
  <si>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</si>
  <si>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</si>
  <si>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</si>
  <si>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</si>
  <si>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</si>
  <si>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</si>
  <si>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</si>
  <si>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</si>
  <si>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</si>
  <si>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</si>
  <si>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</si>
  <si>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</si>
  <si>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</si>
  <si>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</si>
  <si>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</si>
  <si>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</si>
  <si>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</si>
  <si>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</si>
  <si>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</si>
  <si>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</si>
  <si>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</si>
  <si>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</si>
  <si>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</si>
  <si>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</si>
  <si>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</si>
  <si>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</si>
  <si>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</si>
  <si>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</si>
  <si>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</si>
  <si>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</si>
  <si>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</si>
  <si>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</si>
  <si>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</si>
  <si>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</si>
  <si>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</si>
  <si>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</si>
  <si>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</si>
  <si>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</si>
  <si>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</si>
  <si>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</si>
  <si>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</si>
  <si>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</si>
  <si>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</si>
  <si>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</si>
  <si>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</si>
  <si>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</si>
  <si>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</si>
  <si>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</si>
  <si>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</si>
  <si>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</si>
  <si>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</si>
  <si>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</si>
  <si>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</si>
  <si>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</si>
  <si>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</si>
  <si>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выполнения работ по замене разъединителей и реконструкции устройств РЗА, обусловлено необходимостью координации сроков выполнения работ с инвестиционным проектом M_00.0020.000020 в рамках которого оборудование РЗА должно размещаться во вновь построенном здании ОПУ-ЗРУ</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</si>
  <si>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</si>
  <si>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</si>
  <si>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</si>
  <si>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</si>
  <si>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Заключение договора с взаимозависимым юридическим лицом</t>
  </si>
  <si>
    <t>АО РЭМиС</t>
  </si>
  <si>
    <t>-</t>
  </si>
  <si>
    <t>нет</t>
  </si>
  <si>
    <t>2.2.1.12</t>
  </si>
  <si>
    <t>ЦЗК</t>
  </si>
  <si>
    <t>Протокол №14</t>
  </si>
  <si>
    <t>Договор расторгнут по соглашению Сторон</t>
  </si>
  <si>
    <t>ИП</t>
  </si>
  <si>
    <t>СМР</t>
  </si>
  <si>
    <t>АО "РЭМиС"</t>
  </si>
  <si>
    <t>ИП-20-00157 от 16.06.2020</t>
  </si>
  <si>
    <t>СМР, ПНР</t>
  </si>
  <si>
    <t>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t>
  </si>
  <si>
    <t>Запрос предложений в электронной форме</t>
  </si>
  <si>
    <t>АКЦИОНЕРНОЕ ОБЩЕСТВО "РЕМОНТЭНЕРГОМОНТАЖ И СЕРВИС"</t>
  </si>
  <si>
    <t>да</t>
  </si>
  <si>
    <t>https://www.roseltorg.ru/</t>
  </si>
  <si>
    <t>ИП-22-00184 от 25.07.2022</t>
  </si>
  <si>
    <t>ТМЦ</t>
  </si>
  <si>
    <t>Поставка выключателя бакового элегазового 220кВ</t>
  </si>
  <si>
    <t>Аукцион в электронной форме</t>
  </si>
  <si>
    <t>Общество с ограниченной ответственностью "Инженерный центр Сибири"</t>
  </si>
  <si>
    <t>ПД</t>
  </si>
  <si>
    <t>ПД-22-00118 от 17.05.2022</t>
  </si>
  <si>
    <t>ПИР</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</si>
  <si>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</si>
  <si>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"ИНЖЕНЕРНО-ДИАГНОСТИЧЕСКИЙ ЦЕНТР"; ОБЩЕСТВО С ОГРАНИЧЕННОЙ ОТВЕТСТВЕННОСТЬЮ "ЭНЕРГЕТИКА, МИКРОЭЛЕКТРОНИКА, АВТОМАТИКА"; ОБЩЕСТВО С ОГРАНИЧЕННОЙ ОТВЕТСТВЕННОСТЬЮ "ЭНЕРГОГРУПП"; ОБЩЕСТВО С ОГРАНИЧЕННОЙ ОТВЕТСТВЕННОСТЬЮ "ЭНЕРГОПРОММОНТАЖ"; ОБЩЕСТВО С ОГРАНИЧЕННОЙ ОТВЕТСТВЕННОСТЬЮ "ПРОЕКТНЫЙ ЦЕНТР СИБИРИ"</t>
  </si>
  <si>
    <t>3000,00; 3801,10; 3150,00; 2800,00; 2325,00; 3203,00; 3203,00; 3203,00</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</si>
  <si>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"ЭНЕРГЕТИКА, МИКРОЭЛЕКТРОНИКА, АВТОМАТИКА"</t>
  </si>
  <si>
    <t xml:space="preserve"> -; -; -; 2800,00; -; 2390,00; 2748,00; 2450,00</t>
  </si>
  <si>
    <t>ОБЩЕСТВО С ОГРАНИЧЕННОЙ ОТВЕТСТВЕННОСТЬЮ "ЭНЕРГОГРУПП"</t>
  </si>
  <si>
    <t>ООО ЭНЕРГОгрупп</t>
  </si>
  <si>
    <t>ИП-20-00261 от 27.10.2020</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</si>
  <si>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</si>
  <si>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"СОЮЗЭНЕРГОПРОЕКТ" ; ОБЩЕСТВО С ОГРАНИЧЕННОЙ ОТВЕТСТВЕННОСТЬЮ "ТЕХНО БАЗИС"; Общество с ограниченной ответственностью "Проектный Центр Сибири"; ОБЩЕСТВО С ОГРАНИЧЕННОЙ ОТВЕТСТВЕННОСТЬЮ "КОМПЛЕКСЭНЕРГОПРОЕКТ"; АКЦИОНЕРНОЕ ОБЩЕСТВО "ЧЕБОКСАРСКИЙ ЭЛЕКТРОАППАРАТНЫЙ ЗАВОД"; ОБЩЕСТВО С ОГРАНИЧЕННОЙ ОТВЕТСТВЕННОСТЬЮ "АРСИСПРО"</t>
  </si>
  <si>
    <t>3 500,00; 3 660,00; 3 700,00; 3 425,00; 4 0397,81; 3 600,00; 3 750,00; 3 490,00</t>
  </si>
  <si>
    <t>ОБЩЕСТВО С ОГРАНИЧЕННОЙ ОТВЕТСТВЕННОСТЬЮ "УРАЛЖИЛСТРОЙ"; ОБЩЕСТВО С ОГРАНИЧЕННОЙ ОТВЕТСТВЕННОСТЬЮ "ТЕХНО БАЗИС"; АКЦИОНЕРНОЕ ОБЩЕСТВО "ЧЕБОКСАРСКИЙ ЭЛЕКТРОАППАРАТНЫЙ ЗАВОД"; ОБЩЕСТВО С ОГРАНИЧЕННОЙ ОТВЕТСТВЕННОСТЬЮ "АРСИСПРО"</t>
  </si>
  <si>
    <t>3 660,00; 3 300,00; 3 100,00; 3 200,00</t>
  </si>
  <si>
    <t>Общество с ограниченной ответственностью "Проектный Центр Сибири"</t>
  </si>
  <si>
    <t>ООО "ПЦ Сибири"</t>
  </si>
  <si>
    <t>ИП-20-00068 от 20.03.2020</t>
  </si>
  <si>
    <t>Поставка разъединителей ПС 220 кВ Чулымская</t>
  </si>
  <si>
    <t>Аукцион в электронной форме, участниками которого могут быть только субъекты малого и среднего предпринимательства</t>
  </si>
  <si>
    <t>ООО "ИЦС"</t>
  </si>
  <si>
    <t>ПД-23-00194 от 13.06.2023</t>
  </si>
  <si>
    <t>Поставка разъединителей на ПС 220 кВ Чулымскую</t>
  </si>
  <si>
    <t>ООО "ИЦС";
ОБЩЕСТВО С ОГРАНИЧЕННОЙ ОТВЕТСТВЕННОСТЬЮ "СПАН МАРКЕТ"</t>
  </si>
  <si>
    <t>ОБЩЕСТВО С ОГРАНИЧЕННОЙ ОТВЕТСТВЕННОСТЬЮ "СПАН МАРКЕТ"</t>
  </si>
  <si>
    <t>ПД-23-00289 от 19.09.2023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</si>
  <si>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</si>
  <si>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</si>
  <si>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</si>
  <si>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791 от 02.11.2022; 
№ 791/1 от 11.09.2023</t>
  </si>
  <si>
    <t>см. комментарии ниже по этапам</t>
  </si>
  <si>
    <t>Смещение сроков выполнения работ по замене разъединителей и реконструкции устройств РЗА, обусловлено необходимостью координации сроков выполнения работ с инвестиционным проектом M_00.0020.000020 в рамках которого оборудование РЗА должно размещаться во вновь построенном здании ОПУ-ЗРУ</t>
  </si>
  <si>
    <t>г. Чулым</t>
  </si>
  <si>
    <t>не требуется</t>
  </si>
  <si>
    <t>не относится</t>
  </si>
  <si>
    <t>+</t>
  </si>
  <si>
    <t>2,79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</si>
  <si>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</si>
  <si>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</si>
  <si>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</si>
  <si>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71684,04 тыс. руб. с НДС на 1 выключатель 220 кВ</t>
  </si>
  <si>
    <t>1 этап 1-го пускового комплекса - замена ячейки выключателя 1АТ-220;
1 этап 2-го пускового комплекса - замена разъединителей, устройств РЗА ячейки выключателя 1АТ-220;
2 этап 1-го пускового комплекса - замена ячейки выключателя 2АТ-220;
2 этап 2-го пускового комплекса - замена разъединителей, устройств РЗА ячейки выключателя 2АТ-220;
3 этап 1-го пускового комплекса - замена ячейки выключателя ШОВ-220;
3 этап 2-го пускового комплекса - замена разъединителей, устройств РЗА ячейки выключателя ШОВ-220.</t>
  </si>
  <si>
    <t>1.Объект включён в инвестиционную программу на основании оценки технического состояния, подтвержденный индексом технического состояния (ИТС:66;51;51)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94% до 100%.
3. Заключение акта технического освидетельствования № ПС-5/09-2020 от 30.06.2020.</t>
  </si>
  <si>
    <t>С</t>
  </si>
  <si>
    <t>Сибирский Федеральный округ, Новосибирская область, г. Чулым</t>
  </si>
  <si>
    <t>У-220-2000-10</t>
  </si>
  <si>
    <t>Элегазовый выключатель</t>
  </si>
  <si>
    <t>ШОВ-220</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</si>
  <si>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</si>
  <si>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</si>
  <si>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ВМТ-220Б/25-1250 УХЛ1</t>
  </si>
  <si>
    <t>В-220 1АТ</t>
  </si>
  <si>
    <t> 1992</t>
  </si>
  <si>
    <t>1992 </t>
  </si>
  <si>
    <t>В-220 2АТ</t>
  </si>
  <si>
    <t> 2006</t>
  </si>
  <si>
    <t>1;2;3;4</t>
  </si>
  <si>
    <t>3;3</t>
  </si>
  <si>
    <t>75%</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</si>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</sst>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565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566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571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572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572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572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572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572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573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572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572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572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574</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572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596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575</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114.29274856326113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95.807677917397427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M_00.0006.000006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179.57790683202012</v>
      </c>
      <c r="D24" s="261">
        <f t="shared" ref="D24:G24" si="0">D25+D26+D27+D32+D33</f>
        <v>215.05211964297365</v>
      </c>
      <c r="E24" s="262">
        <f>J24+N24+R24+V24+Z24+AE24</f>
        <v>114.29274856326113</v>
      </c>
      <c r="F24" s="262">
        <f t="shared" ref="F24:F26" si="1">N24+R24+V24+Z24+AE24</f>
        <v>114.29274856326113</v>
      </c>
      <c r="G24" s="253">
        <f t="shared" si="0"/>
        <v>5.0913028771268971</v>
      </c>
      <c r="H24" s="253">
        <f>H25+H26+H27+H32+H33</f>
        <v>46.60049695455124</v>
      </c>
      <c r="I24" s="253" t="s">
        <v>424</v>
      </c>
      <c r="J24" s="261">
        <f>J25+J26+J27+J32+J33</f>
        <v>0</v>
      </c>
      <c r="K24" s="261" t="s">
        <v>424</v>
      </c>
      <c r="L24" s="253">
        <f>L25+L26+L27+L32+L33</f>
        <v>12.756910618346753</v>
      </c>
      <c r="M24" s="253" t="s">
        <v>424</v>
      </c>
      <c r="N24" s="261">
        <f>N25+N26+N27+N32+N33</f>
        <v>46.600496954551247</v>
      </c>
      <c r="O24" s="261" t="s">
        <v>424</v>
      </c>
      <c r="P24" s="253">
        <f t="shared" ref="P24" si="2">P25+P26+P27+P32+P33</f>
        <v>39.310376511898383</v>
      </c>
      <c r="Q24" s="253" t="s">
        <v>424</v>
      </c>
      <c r="R24" s="261">
        <f>R25+R26+R27+R32+R33</f>
        <v>0</v>
      </c>
      <c r="S24" s="261" t="s">
        <v>424</v>
      </c>
      <c r="T24" s="253">
        <f t="shared" ref="T24" si="3">T25+T26+T27+T32+T33</f>
        <v>0</v>
      </c>
      <c r="U24" s="253" t="s">
        <v>424</v>
      </c>
      <c r="V24" s="261">
        <f>V25+V26+V27+V32+V33</f>
        <v>67.692251608709881</v>
      </c>
      <c r="W24" s="261" t="s">
        <v>424</v>
      </c>
      <c r="X24" s="253">
        <f t="shared" ref="X24" si="4">X25+X26+X27+X32+X33</f>
        <v>0</v>
      </c>
      <c r="Y24" s="253" t="s">
        <v>424</v>
      </c>
      <c r="Z24" s="261">
        <f>Z25+Z26+Z27+Z32+Z33</f>
        <v>0</v>
      </c>
      <c r="AA24" s="261" t="s">
        <v>424</v>
      </c>
      <c r="AB24" s="254">
        <f>H24+L24+P24+T24+X24</f>
        <v>98.667784084796381</v>
      </c>
      <c r="AC24" s="264">
        <f>J24+N24+R24+V24+Z24</f>
        <v>114.29274856326113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150.21952301397232</v>
      </c>
      <c r="D27" s="261">
        <v>100.21589044461858</v>
      </c>
      <c r="E27" s="264">
        <f>J27+N27+R27+V27+Z27+AE27</f>
        <v>95.968270427004114</v>
      </c>
      <c r="F27" s="264">
        <f t="shared" ref="F27:F68" si="8">N27+R27+V27+Z27+AE27</f>
        <v>95.968270427004114</v>
      </c>
      <c r="G27" s="253">
        <v>-7.6656077412198558</v>
      </c>
      <c r="H27" s="253">
        <f>SUM(H28:H31)</f>
        <v>45.756817914551242</v>
      </c>
      <c r="I27" s="253" t="s">
        <v>424</v>
      </c>
      <c r="J27" s="261">
        <f>SUM(J28:J31)</f>
        <v>0</v>
      </c>
      <c r="K27" s="261" t="s">
        <v>424</v>
      </c>
      <c r="L27" s="253">
        <f>SUM(L28:L31)</f>
        <v>0</v>
      </c>
      <c r="M27" s="253" t="s">
        <v>424</v>
      </c>
      <c r="N27" s="261">
        <f>SUM(N28:N31)</f>
        <v>39.379409364809547</v>
      </c>
      <c r="O27" s="261" t="s">
        <v>424</v>
      </c>
      <c r="P27" s="253">
        <f>SUM(P28:P31)</f>
        <v>39.310376511898383</v>
      </c>
      <c r="Q27" s="253" t="s">
        <v>424</v>
      </c>
      <c r="R27" s="261">
        <f>SUM(R28:R31)</f>
        <v>0</v>
      </c>
      <c r="S27" s="261" t="s">
        <v>424</v>
      </c>
      <c r="T27" s="253">
        <f>SUM(T28:T31)</f>
        <v>0</v>
      </c>
      <c r="U27" s="253" t="s">
        <v>424</v>
      </c>
      <c r="V27" s="261">
        <f>SUM(V28:V31)</f>
        <v>56.588861062194574</v>
      </c>
      <c r="W27" s="261" t="s">
        <v>424</v>
      </c>
      <c r="X27" s="253">
        <f>SUM(X28:X31)</f>
        <v>0</v>
      </c>
      <c r="Y27" s="253" t="s">
        <v>424</v>
      </c>
      <c r="Z27" s="261">
        <f>SUM(Z28:Z31)</f>
        <v>0</v>
      </c>
      <c r="AA27" s="261" t="s">
        <v>424</v>
      </c>
      <c r="AB27" s="254">
        <f t="shared" si="6"/>
        <v>85.067194426449618</v>
      </c>
      <c r="AC27" s="264">
        <f t="shared" si="7"/>
        <v>95.968270427004114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41.082128371761016</v>
      </c>
      <c r="F29" s="264">
        <f t="shared" si="8"/>
        <v>41.082128371761016</v>
      </c>
      <c r="G29" s="254" t="s">
        <v>424</v>
      </c>
      <c r="H29" s="254">
        <v>20.166372260901774</v>
      </c>
      <c r="I29" s="255" t="s">
        <v>59</v>
      </c>
      <c r="J29" s="263">
        <v>0</v>
      </c>
      <c r="K29" s="265">
        <v>0</v>
      </c>
      <c r="L29" s="254">
        <v>0</v>
      </c>
      <c r="M29" s="255">
        <v>0</v>
      </c>
      <c r="N29" s="263">
        <v>17.355661185797718</v>
      </c>
      <c r="O29" s="265" t="s">
        <v>59</v>
      </c>
      <c r="P29" s="254">
        <v>0</v>
      </c>
      <c r="Q29" s="270" t="s">
        <v>59</v>
      </c>
      <c r="R29" s="263">
        <v>0</v>
      </c>
      <c r="S29" s="265">
        <v>0</v>
      </c>
      <c r="T29" s="254">
        <v>0</v>
      </c>
      <c r="U29" s="270">
        <v>0</v>
      </c>
      <c r="V29" s="263">
        <v>23.726467185963298</v>
      </c>
      <c r="W29" s="265" t="s">
        <v>59</v>
      </c>
      <c r="X29" s="254">
        <v>0</v>
      </c>
      <c r="Y29" s="270">
        <v>0</v>
      </c>
      <c r="Z29" s="263">
        <v>0</v>
      </c>
      <c r="AA29" s="265">
        <v>0</v>
      </c>
      <c r="AB29" s="254">
        <f t="shared" si="6"/>
        <v>20.166372260901774</v>
      </c>
      <c r="AC29" s="264">
        <f t="shared" si="7"/>
        <v>41.082128371761016</v>
      </c>
      <c r="AD29" s="204"/>
      <c r="AE29" s="274">
        <v>0</v>
      </c>
      <c r="AF29" s="276">
        <v>0</v>
      </c>
      <c r="AG29" s="278">
        <v>0</v>
      </c>
      <c r="AH29" s="278">
        <v>0</v>
      </c>
    </row>
    <row r="30" spans="1:34" x14ac:dyDescent="0.25">
      <c r="A30" s="58" t="s">
        <v>427</v>
      </c>
      <c r="B30" s="42" t="s">
        <v>164</v>
      </c>
      <c r="C30" s="255" t="s">
        <v>424</v>
      </c>
      <c r="D30" s="265" t="s">
        <v>424</v>
      </c>
      <c r="E30" s="264">
        <f t="shared" si="9"/>
        <v>45.259109389952911</v>
      </c>
      <c r="F30" s="264">
        <f t="shared" si="8"/>
        <v>45.259109389952911</v>
      </c>
      <c r="G30" s="254" t="s">
        <v>424</v>
      </c>
      <c r="H30" s="254">
        <v>19.394473997000414</v>
      </c>
      <c r="I30" s="255" t="s">
        <v>59</v>
      </c>
      <c r="J30" s="263">
        <v>0</v>
      </c>
      <c r="K30" s="265">
        <v>0</v>
      </c>
      <c r="L30" s="254">
        <v>0</v>
      </c>
      <c r="M30" s="255">
        <v>0</v>
      </c>
      <c r="N30" s="263">
        <v>16.691347120538147</v>
      </c>
      <c r="O30" s="265" t="s">
        <v>59</v>
      </c>
      <c r="P30" s="254">
        <v>34.173088398327231</v>
      </c>
      <c r="Q30" s="254" t="s">
        <v>59</v>
      </c>
      <c r="R30" s="263">
        <v>0</v>
      </c>
      <c r="S30" s="265">
        <v>0</v>
      </c>
      <c r="T30" s="254">
        <v>0</v>
      </c>
      <c r="U30" s="254">
        <v>0</v>
      </c>
      <c r="V30" s="263">
        <v>28.567762269414761</v>
      </c>
      <c r="W30" s="265" t="s">
        <v>59</v>
      </c>
      <c r="X30" s="254">
        <v>0</v>
      </c>
      <c r="Y30" s="254">
        <v>0</v>
      </c>
      <c r="Z30" s="263">
        <v>0</v>
      </c>
      <c r="AA30" s="265">
        <v>0</v>
      </c>
      <c r="AB30" s="254">
        <f t="shared" si="6"/>
        <v>53.567562395327641</v>
      </c>
      <c r="AC30" s="264">
        <f t="shared" si="7"/>
        <v>45.259109389952911</v>
      </c>
      <c r="AD30" s="204"/>
      <c r="AE30" s="274">
        <v>0</v>
      </c>
      <c r="AF30" s="274">
        <v>0</v>
      </c>
      <c r="AG30" s="278">
        <v>0</v>
      </c>
      <c r="AH30" s="278">
        <v>0</v>
      </c>
    </row>
    <row r="31" spans="1:34" x14ac:dyDescent="0.25">
      <c r="A31" s="58" t="s">
        <v>428</v>
      </c>
      <c r="B31" s="42" t="s">
        <v>162</v>
      </c>
      <c r="C31" s="255" t="s">
        <v>424</v>
      </c>
      <c r="D31" s="265" t="s">
        <v>424</v>
      </c>
      <c r="E31" s="264">
        <f t="shared" si="9"/>
        <v>9.6270326652901925</v>
      </c>
      <c r="F31" s="264">
        <f t="shared" si="8"/>
        <v>9.6270326652901925</v>
      </c>
      <c r="G31" s="254" t="s">
        <v>424</v>
      </c>
      <c r="H31" s="254">
        <v>6.1959716566490579</v>
      </c>
      <c r="I31" s="255" t="s">
        <v>595</v>
      </c>
      <c r="J31" s="263">
        <v>0</v>
      </c>
      <c r="K31" s="265">
        <v>0</v>
      </c>
      <c r="L31" s="254">
        <v>0</v>
      </c>
      <c r="M31" s="255">
        <v>0</v>
      </c>
      <c r="N31" s="263">
        <v>5.3324010584736783</v>
      </c>
      <c r="O31" s="265" t="s">
        <v>595</v>
      </c>
      <c r="P31" s="254">
        <v>5.1372881135711506</v>
      </c>
      <c r="Q31" s="254" t="s">
        <v>59</v>
      </c>
      <c r="R31" s="263">
        <v>0</v>
      </c>
      <c r="S31" s="265">
        <v>0</v>
      </c>
      <c r="T31" s="254">
        <v>0</v>
      </c>
      <c r="U31" s="254">
        <v>0</v>
      </c>
      <c r="V31" s="263">
        <v>4.2946316068165142</v>
      </c>
      <c r="W31" s="265" t="s">
        <v>59</v>
      </c>
      <c r="X31" s="254">
        <v>0</v>
      </c>
      <c r="Y31" s="254">
        <v>0</v>
      </c>
      <c r="Z31" s="263">
        <v>0</v>
      </c>
      <c r="AA31" s="265">
        <v>0</v>
      </c>
      <c r="AB31" s="254">
        <f t="shared" si="6"/>
        <v>11.333259770220209</v>
      </c>
      <c r="AC31" s="264">
        <f t="shared" si="7"/>
        <v>9.6270326652901925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29.358383818047791</v>
      </c>
      <c r="D33" s="263">
        <v>114.83622919835507</v>
      </c>
      <c r="E33" s="264">
        <f t="shared" si="9"/>
        <v>18.324478136257014</v>
      </c>
      <c r="F33" s="264">
        <f t="shared" si="8"/>
        <v>18.324478136257014</v>
      </c>
      <c r="G33" s="254">
        <v>12.756910618346753</v>
      </c>
      <c r="H33" s="254">
        <v>0.84367903999999905</v>
      </c>
      <c r="I33" s="254" t="str">
        <f>I31</f>
        <v>1;2;3;4</v>
      </c>
      <c r="J33" s="263">
        <v>0</v>
      </c>
      <c r="K33" s="263">
        <f>K31</f>
        <v>0</v>
      </c>
      <c r="L33" s="254">
        <v>12.756910618346753</v>
      </c>
      <c r="M33" s="254">
        <f>M31</f>
        <v>0</v>
      </c>
      <c r="N33" s="263">
        <v>7.2210875897416988</v>
      </c>
      <c r="O33" s="263" t="str">
        <f>O31</f>
        <v>1;2;3;4</v>
      </c>
      <c r="P33" s="254">
        <v>0</v>
      </c>
      <c r="Q33" s="254" t="str">
        <f>Q31</f>
        <v>4</v>
      </c>
      <c r="R33" s="263">
        <v>0</v>
      </c>
      <c r="S33" s="263">
        <f>S31</f>
        <v>0</v>
      </c>
      <c r="T33" s="254">
        <v>0</v>
      </c>
      <c r="U33" s="254">
        <f>U31</f>
        <v>0</v>
      </c>
      <c r="V33" s="263">
        <v>11.103390546515314</v>
      </c>
      <c r="W33" s="263" t="str">
        <f>W31</f>
        <v>4</v>
      </c>
      <c r="X33" s="254">
        <v>0</v>
      </c>
      <c r="Y33" s="254">
        <f>Y31</f>
        <v>0</v>
      </c>
      <c r="Z33" s="263">
        <v>0</v>
      </c>
      <c r="AA33" s="263">
        <f>AA31</f>
        <v>0</v>
      </c>
      <c r="AB33" s="254">
        <f t="shared" si="6"/>
        <v>13.600589658346752</v>
      </c>
      <c r="AC33" s="264">
        <f t="shared" si="7"/>
        <v>18.324478136257014</v>
      </c>
      <c r="AE33" s="274">
        <v>0</v>
      </c>
      <c r="AF33" s="274">
        <f>AF31</f>
        <v>0</v>
      </c>
      <c r="AG33" s="278">
        <v>0</v>
      </c>
      <c r="AH33" s="278">
        <v>0</v>
      </c>
    </row>
    <row r="34" spans="1:34" ht="47.25" x14ac:dyDescent="0.25">
      <c r="A34" s="60" t="s">
        <v>61</v>
      </c>
      <c r="B34" s="59" t="s">
        <v>170</v>
      </c>
      <c r="C34" s="253">
        <f>SUM(C35:C38)</f>
        <v>175.84008977739745</v>
      </c>
      <c r="D34" s="261">
        <f t="shared" ref="D34:G34" si="10">SUM(D35:D38)</f>
        <v>180.09958736739745</v>
      </c>
      <c r="E34" s="262">
        <f t="shared" si="9"/>
        <v>95.807677917397427</v>
      </c>
      <c r="F34" s="262">
        <f t="shared" si="8"/>
        <v>95.807677917397427</v>
      </c>
      <c r="G34" s="253">
        <f t="shared" si="10"/>
        <v>4.2594975899999996</v>
      </c>
      <c r="H34" s="253">
        <f>SUM(H35:H38)</f>
        <v>39.250693189883386</v>
      </c>
      <c r="I34" s="253" t="s">
        <v>424</v>
      </c>
      <c r="J34" s="261">
        <f>SUM(J35:J38)</f>
        <v>0</v>
      </c>
      <c r="K34" s="261" t="s">
        <v>424</v>
      </c>
      <c r="L34" s="253">
        <f>SUM(L35:L38)</f>
        <v>0</v>
      </c>
      <c r="M34" s="253" t="s">
        <v>424</v>
      </c>
      <c r="N34" s="261">
        <f>SUM(N35:N38)</f>
        <v>39.250693189883386</v>
      </c>
      <c r="O34" s="261" t="s">
        <v>424</v>
      </c>
      <c r="P34" s="253">
        <f>SUM(P35:P38)</f>
        <v>56.556984727514049</v>
      </c>
      <c r="Q34" s="253" t="s">
        <v>424</v>
      </c>
      <c r="R34" s="261">
        <f>SUM(R35:R38)</f>
        <v>0</v>
      </c>
      <c r="S34" s="261" t="s">
        <v>424</v>
      </c>
      <c r="T34" s="253">
        <f>SUM(T35:T38)</f>
        <v>0</v>
      </c>
      <c r="U34" s="253" t="s">
        <v>424</v>
      </c>
      <c r="V34" s="261">
        <f>SUM(V35:V38)</f>
        <v>56.556984727514049</v>
      </c>
      <c r="W34" s="261" t="s">
        <v>424</v>
      </c>
      <c r="X34" s="253">
        <f>SUM(X35:X38)</f>
        <v>0</v>
      </c>
      <c r="Y34" s="253" t="s">
        <v>424</v>
      </c>
      <c r="Z34" s="261">
        <f>SUM(Z35:Z38)</f>
        <v>0</v>
      </c>
      <c r="AA34" s="261" t="s">
        <v>424</v>
      </c>
      <c r="AB34" s="254">
        <f t="shared" si="6"/>
        <v>95.807677917397427</v>
      </c>
      <c r="AC34" s="264">
        <f t="shared" si="7"/>
        <v>95.807677917397427</v>
      </c>
      <c r="AD34" s="204"/>
      <c r="AE34" s="273">
        <f>SUM(AE35:AE38)</f>
        <v>0</v>
      </c>
      <c r="AF34" s="273" t="s">
        <v>424</v>
      </c>
      <c r="AG34" s="278">
        <v>0</v>
      </c>
      <c r="AH34" s="278">
        <v>0</v>
      </c>
    </row>
    <row r="35" spans="1:34" x14ac:dyDescent="0.25">
      <c r="A35" s="60" t="s">
        <v>169</v>
      </c>
      <c r="B35" s="42" t="s">
        <v>168</v>
      </c>
      <c r="C35" s="254">
        <v>3.9633249999999998</v>
      </c>
      <c r="D35" s="263">
        <v>8.1817201999999991</v>
      </c>
      <c r="E35" s="264">
        <f t="shared" si="9"/>
        <v>0</v>
      </c>
      <c r="F35" s="264">
        <f t="shared" si="8"/>
        <v>0</v>
      </c>
      <c r="G35" s="254">
        <v>4.2183951999999998</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49.172794255037616</v>
      </c>
      <c r="D36" s="263">
        <v>49.172794255037616</v>
      </c>
      <c r="E36" s="264">
        <f t="shared" si="9"/>
        <v>40.766734555037615</v>
      </c>
      <c r="F36" s="264">
        <f t="shared" si="8"/>
        <v>40.766734555037615</v>
      </c>
      <c r="G36" s="254">
        <v>0</v>
      </c>
      <c r="H36" s="254">
        <v>17.115171974361356</v>
      </c>
      <c r="I36" s="254" t="s">
        <v>59</v>
      </c>
      <c r="J36" s="263">
        <v>0</v>
      </c>
      <c r="K36" s="265">
        <v>0</v>
      </c>
      <c r="L36" s="254">
        <v>0</v>
      </c>
      <c r="M36" s="254">
        <v>0</v>
      </c>
      <c r="N36" s="263">
        <v>17.115171974361356</v>
      </c>
      <c r="O36" s="265" t="s">
        <v>59</v>
      </c>
      <c r="P36" s="254">
        <v>23.651562580676256</v>
      </c>
      <c r="Q36" s="255" t="s">
        <v>59</v>
      </c>
      <c r="R36" s="263">
        <v>0</v>
      </c>
      <c r="S36" s="265">
        <v>0</v>
      </c>
      <c r="T36" s="254">
        <v>0</v>
      </c>
      <c r="U36" s="255">
        <v>0</v>
      </c>
      <c r="V36" s="263">
        <v>23.651562580676256</v>
      </c>
      <c r="W36" s="265" t="s">
        <v>59</v>
      </c>
      <c r="X36" s="254">
        <v>0</v>
      </c>
      <c r="Y36" s="255">
        <v>0</v>
      </c>
      <c r="Z36" s="263">
        <v>0</v>
      </c>
      <c r="AA36" s="265">
        <v>0</v>
      </c>
      <c r="AB36" s="254">
        <f t="shared" si="6"/>
        <v>40.766734555037615</v>
      </c>
      <c r="AC36" s="264">
        <f t="shared" si="7"/>
        <v>40.766734555037615</v>
      </c>
      <c r="AE36" s="274">
        <v>0</v>
      </c>
      <c r="AF36" s="275">
        <v>0</v>
      </c>
      <c r="AG36" s="278">
        <v>0</v>
      </c>
      <c r="AH36" s="278">
        <v>0</v>
      </c>
    </row>
    <row r="37" spans="1:34" x14ac:dyDescent="0.25">
      <c r="A37" s="60" t="s">
        <v>165</v>
      </c>
      <c r="B37" s="42" t="s">
        <v>164</v>
      </c>
      <c r="C37" s="254">
        <v>110.21988879106004</v>
      </c>
      <c r="D37" s="263">
        <v>110.21988879106004</v>
      </c>
      <c r="E37" s="264">
        <f t="shared" si="9"/>
        <v>44.93763666106004</v>
      </c>
      <c r="F37" s="264">
        <f t="shared" si="8"/>
        <v>44.93763666106004</v>
      </c>
      <c r="G37" s="254">
        <v>0</v>
      </c>
      <c r="H37" s="254">
        <v>16.460062995787343</v>
      </c>
      <c r="I37" s="254" t="s">
        <v>59</v>
      </c>
      <c r="J37" s="263">
        <v>0</v>
      </c>
      <c r="K37" s="265">
        <v>0</v>
      </c>
      <c r="L37" s="254">
        <v>0</v>
      </c>
      <c r="M37" s="254">
        <v>0</v>
      </c>
      <c r="N37" s="263">
        <v>16.460062995787343</v>
      </c>
      <c r="O37" s="265" t="s">
        <v>59</v>
      </c>
      <c r="P37" s="254">
        <v>28.477573665272693</v>
      </c>
      <c r="Q37" s="255" t="s">
        <v>59</v>
      </c>
      <c r="R37" s="263">
        <v>0</v>
      </c>
      <c r="S37" s="265">
        <v>0</v>
      </c>
      <c r="T37" s="254">
        <v>0</v>
      </c>
      <c r="U37" s="255">
        <v>0</v>
      </c>
      <c r="V37" s="263">
        <v>28.477573665272693</v>
      </c>
      <c r="W37" s="265" t="s">
        <v>59</v>
      </c>
      <c r="X37" s="254">
        <v>0</v>
      </c>
      <c r="Y37" s="255">
        <v>0</v>
      </c>
      <c r="Z37" s="263">
        <v>0</v>
      </c>
      <c r="AA37" s="265">
        <v>0</v>
      </c>
      <c r="AB37" s="254">
        <f t="shared" si="6"/>
        <v>44.93763666106004</v>
      </c>
      <c r="AC37" s="264">
        <f t="shared" si="7"/>
        <v>44.93763666106004</v>
      </c>
      <c r="AE37" s="274">
        <v>0</v>
      </c>
      <c r="AF37" s="275">
        <v>0</v>
      </c>
      <c r="AG37" s="278">
        <v>0</v>
      </c>
      <c r="AH37" s="278">
        <v>0</v>
      </c>
    </row>
    <row r="38" spans="1:34" x14ac:dyDescent="0.25">
      <c r="A38" s="60" t="s">
        <v>163</v>
      </c>
      <c r="B38" s="42" t="s">
        <v>162</v>
      </c>
      <c r="C38" s="254">
        <v>12.484081731299785</v>
      </c>
      <c r="D38" s="263">
        <v>12.525184121299784</v>
      </c>
      <c r="E38" s="264">
        <f t="shared" si="9"/>
        <v>10.103306701299783</v>
      </c>
      <c r="F38" s="264">
        <f t="shared" si="8"/>
        <v>10.103306701299783</v>
      </c>
      <c r="G38" s="254">
        <v>4.1102390000000003E-2</v>
      </c>
      <c r="H38" s="254">
        <v>5.6754582197346837</v>
      </c>
      <c r="I38" s="254" t="s">
        <v>595</v>
      </c>
      <c r="J38" s="263">
        <v>0</v>
      </c>
      <c r="K38" s="265">
        <v>0</v>
      </c>
      <c r="L38" s="254">
        <v>0</v>
      </c>
      <c r="M38" s="254">
        <v>0</v>
      </c>
      <c r="N38" s="263">
        <v>5.6754582197346837</v>
      </c>
      <c r="O38" s="265" t="s">
        <v>595</v>
      </c>
      <c r="P38" s="254">
        <v>4.4278484815650998</v>
      </c>
      <c r="Q38" s="255" t="s">
        <v>59</v>
      </c>
      <c r="R38" s="263">
        <v>0</v>
      </c>
      <c r="S38" s="265">
        <v>0</v>
      </c>
      <c r="T38" s="254">
        <v>0</v>
      </c>
      <c r="U38" s="255">
        <v>0</v>
      </c>
      <c r="V38" s="263">
        <v>4.4278484815650998</v>
      </c>
      <c r="W38" s="265" t="s">
        <v>59</v>
      </c>
      <c r="X38" s="254">
        <v>0</v>
      </c>
      <c r="Y38" s="255">
        <v>0</v>
      </c>
      <c r="Z38" s="263">
        <v>0</v>
      </c>
      <c r="AA38" s="265">
        <v>0</v>
      </c>
      <c r="AB38" s="254">
        <f t="shared" si="6"/>
        <v>10.103306701299783</v>
      </c>
      <c r="AC38" s="264">
        <f t="shared" si="7"/>
        <v>10.103306701299783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13</v>
      </c>
      <c r="D46" s="263">
        <v>13</v>
      </c>
      <c r="E46" s="264">
        <f t="shared" si="9"/>
        <v>10</v>
      </c>
      <c r="F46" s="264">
        <f t="shared" si="8"/>
        <v>10</v>
      </c>
      <c r="G46" s="254">
        <v>0</v>
      </c>
      <c r="H46" s="254">
        <v>0</v>
      </c>
      <c r="I46" s="255">
        <v>0</v>
      </c>
      <c r="J46" s="263">
        <v>0</v>
      </c>
      <c r="K46" s="265">
        <v>0</v>
      </c>
      <c r="L46" s="254">
        <v>0</v>
      </c>
      <c r="M46" s="255">
        <v>0</v>
      </c>
      <c r="N46" s="263">
        <v>5</v>
      </c>
      <c r="O46" s="265" t="s">
        <v>59</v>
      </c>
      <c r="P46" s="254">
        <v>10</v>
      </c>
      <c r="Q46" s="255">
        <v>0</v>
      </c>
      <c r="R46" s="263">
        <v>0</v>
      </c>
      <c r="S46" s="265">
        <v>0</v>
      </c>
      <c r="T46" s="254">
        <v>0</v>
      </c>
      <c r="U46" s="255">
        <v>0</v>
      </c>
      <c r="V46" s="263">
        <v>5</v>
      </c>
      <c r="W46" s="265" t="s">
        <v>59</v>
      </c>
      <c r="X46" s="254">
        <v>0</v>
      </c>
      <c r="Y46" s="255">
        <v>0</v>
      </c>
      <c r="Z46" s="263">
        <v>0</v>
      </c>
      <c r="AA46" s="265">
        <v>0</v>
      </c>
      <c r="AB46" s="254">
        <f t="shared" si="6"/>
        <v>10</v>
      </c>
      <c r="AC46" s="264">
        <f t="shared" si="7"/>
        <v>10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13</v>
      </c>
      <c r="D54" s="263">
        <v>13</v>
      </c>
      <c r="E54" s="264">
        <f t="shared" si="9"/>
        <v>10</v>
      </c>
      <c r="F54" s="264">
        <f t="shared" si="8"/>
        <v>10</v>
      </c>
      <c r="G54" s="254">
        <v>0</v>
      </c>
      <c r="H54" s="254" t="b">
        <v>0</v>
      </c>
      <c r="I54" s="255">
        <v>0</v>
      </c>
      <c r="J54" s="263">
        <v>0</v>
      </c>
      <c r="K54" s="265">
        <v>0</v>
      </c>
      <c r="L54" s="254">
        <v>0</v>
      </c>
      <c r="M54" s="255">
        <v>0</v>
      </c>
      <c r="N54" s="263">
        <v>5</v>
      </c>
      <c r="O54" s="265" t="s">
        <v>59</v>
      </c>
      <c r="P54" s="254">
        <v>10</v>
      </c>
      <c r="Q54" s="255">
        <v>0</v>
      </c>
      <c r="R54" s="263">
        <v>0</v>
      </c>
      <c r="S54" s="265">
        <v>0</v>
      </c>
      <c r="T54" s="254">
        <v>0</v>
      </c>
      <c r="U54" s="255">
        <v>0</v>
      </c>
      <c r="V54" s="263">
        <v>5</v>
      </c>
      <c r="W54" s="265" t="s">
        <v>59</v>
      </c>
      <c r="X54" s="254">
        <v>0</v>
      </c>
      <c r="Y54" s="255">
        <v>0</v>
      </c>
      <c r="Z54" s="263">
        <v>0</v>
      </c>
      <c r="AA54" s="265">
        <v>0</v>
      </c>
      <c r="AB54" s="254">
        <f t="shared" si="6"/>
        <v>10</v>
      </c>
      <c r="AC54" s="264">
        <f t="shared" si="7"/>
        <v>10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150.46542519285862</v>
      </c>
      <c r="D56" s="263">
        <v>180.09958736738767</v>
      </c>
      <c r="E56" s="264">
        <f t="shared" si="9"/>
        <v>116.72337550738766</v>
      </c>
      <c r="F56" s="264">
        <f t="shared" si="8"/>
        <v>116.72337550738766</v>
      </c>
      <c r="G56" s="254">
        <v>0</v>
      </c>
      <c r="H56" s="254">
        <v>0</v>
      </c>
      <c r="I56" s="255">
        <v>0</v>
      </c>
      <c r="J56" s="263">
        <v>0</v>
      </c>
      <c r="K56" s="265">
        <v>0</v>
      </c>
      <c r="L56" s="254">
        <v>87.08921333285862</v>
      </c>
      <c r="M56" s="255" t="s">
        <v>59</v>
      </c>
      <c r="N56" s="263">
        <v>54.818045696122475</v>
      </c>
      <c r="O56" s="265" t="s">
        <v>59</v>
      </c>
      <c r="P56" s="254">
        <v>0</v>
      </c>
      <c r="Q56" s="255">
        <v>0</v>
      </c>
      <c r="R56" s="263">
        <v>0</v>
      </c>
      <c r="S56" s="265">
        <v>0</v>
      </c>
      <c r="T56" s="254">
        <v>0</v>
      </c>
      <c r="U56" s="255">
        <v>0</v>
      </c>
      <c r="V56" s="263">
        <v>61.90532981126519</v>
      </c>
      <c r="W56" s="265" t="s">
        <v>59</v>
      </c>
      <c r="X56" s="254">
        <v>0</v>
      </c>
      <c r="Y56" s="255">
        <v>0</v>
      </c>
      <c r="Z56" s="263">
        <v>0</v>
      </c>
      <c r="AA56" s="265">
        <v>0</v>
      </c>
      <c r="AB56" s="254">
        <f t="shared" si="6"/>
        <v>87.08921333285862</v>
      </c>
      <c r="AC56" s="264">
        <f t="shared" si="7"/>
        <v>116.72337550738766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13</v>
      </c>
      <c r="D61" s="263">
        <v>13</v>
      </c>
      <c r="E61" s="264">
        <f t="shared" si="9"/>
        <v>10</v>
      </c>
      <c r="F61" s="264">
        <f t="shared" si="8"/>
        <v>10</v>
      </c>
      <c r="G61" s="254">
        <v>0</v>
      </c>
      <c r="H61" s="254" t="b">
        <v>0</v>
      </c>
      <c r="I61" s="255">
        <v>0</v>
      </c>
      <c r="J61" s="263">
        <v>0</v>
      </c>
      <c r="K61" s="265">
        <v>0</v>
      </c>
      <c r="L61" s="254">
        <v>0</v>
      </c>
      <c r="M61" s="255">
        <v>0</v>
      </c>
      <c r="N61" s="263">
        <v>5</v>
      </c>
      <c r="O61" s="265" t="s">
        <v>59</v>
      </c>
      <c r="P61" s="254">
        <v>10</v>
      </c>
      <c r="Q61" s="255">
        <v>0</v>
      </c>
      <c r="R61" s="263">
        <v>0</v>
      </c>
      <c r="S61" s="265">
        <v>0</v>
      </c>
      <c r="T61" s="254">
        <v>0</v>
      </c>
      <c r="U61" s="255">
        <v>0</v>
      </c>
      <c r="V61" s="263">
        <v>5</v>
      </c>
      <c r="W61" s="265" t="s">
        <v>59</v>
      </c>
      <c r="X61" s="254">
        <v>0</v>
      </c>
      <c r="Y61" s="255">
        <v>0</v>
      </c>
      <c r="Z61" s="263">
        <v>0</v>
      </c>
      <c r="AA61" s="265">
        <v>0</v>
      </c>
      <c r="AB61" s="254">
        <f t="shared" si="6"/>
        <v>10</v>
      </c>
      <c r="AC61" s="264">
        <f t="shared" si="7"/>
        <v>10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13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122275.52052000001</v>
      </c>
      <c r="Q26" s="173" t="s">
        <v>424</v>
      </c>
      <c r="R26" s="175">
        <f>SUM(R27:R86)</f>
        <v>122275.52052000001</v>
      </c>
      <c r="S26" s="173" t="s">
        <v>424</v>
      </c>
      <c r="T26" s="173" t="s">
        <v>424</v>
      </c>
      <c r="U26" s="173" t="s">
        <v>424</v>
      </c>
      <c r="V26" s="173" t="s">
        <v>424</v>
      </c>
      <c r="W26" s="173" t="s">
        <v>424</v>
      </c>
      <c r="X26" s="173" t="s">
        <v>424</v>
      </c>
      <c r="Y26" s="173" t="s">
        <v>424</v>
      </c>
      <c r="Z26" s="173" t="s">
        <v>424</v>
      </c>
      <c r="AA26" s="173" t="s">
        <v>424</v>
      </c>
      <c r="AB26" s="175">
        <f>SUM(AB27:AB86)</f>
        <v>118487.24052000001</v>
      </c>
      <c r="AC26" s="173" t="s">
        <v>424</v>
      </c>
      <c r="AD26" s="175">
        <f>SUM(AD27:AD86)</f>
        <v>142184.688624</v>
      </c>
      <c r="AE26" s="175">
        <f>SUM(AE27:AE86)</f>
        <v>35577.296083999994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86461.524310000008</v>
      </c>
      <c r="AY26" s="175">
        <f t="shared" si="46"/>
        <v>108474.97086000002</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46501.38</v>
      </c>
      <c r="Q27" s="205" t="s">
        <v>514</v>
      </c>
      <c r="R27" s="206">
        <v>46501.38</v>
      </c>
      <c r="S27" s="205" t="s">
        <v>515</v>
      </c>
      <c r="T27" s="205" t="s">
        <v>515</v>
      </c>
      <c r="U27" s="205" t="s">
        <v>424</v>
      </c>
      <c r="V27" s="205" t="s">
        <v>424</v>
      </c>
      <c r="W27" s="205" t="s">
        <v>424</v>
      </c>
      <c r="X27" s="205" t="s">
        <v>424</v>
      </c>
      <c r="Y27" s="205" t="s">
        <v>424</v>
      </c>
      <c r="Z27" s="205" t="s">
        <v>424</v>
      </c>
      <c r="AA27" s="205" t="s">
        <v>424</v>
      </c>
      <c r="AB27" s="206">
        <v>46501.38</v>
      </c>
      <c r="AC27" s="205" t="s">
        <v>516</v>
      </c>
      <c r="AD27" s="206">
        <v>55801.655999999995</v>
      </c>
      <c r="AE27" s="247">
        <f>IF(IFERROR(AD27-AY27,"нд")&lt;0,0,IFERROR(AD27-AY27,"нд"))</f>
        <v>0</v>
      </c>
      <c r="AF27" s="205" t="s">
        <v>517</v>
      </c>
      <c r="AG27" s="205" t="s">
        <v>518</v>
      </c>
      <c r="AH27" s="205" t="s">
        <v>424</v>
      </c>
      <c r="AI27" s="207" t="s">
        <v>424</v>
      </c>
      <c r="AJ27" s="207" t="s">
        <v>424</v>
      </c>
      <c r="AK27" s="207" t="s">
        <v>424</v>
      </c>
      <c r="AL27" s="207" t="s">
        <v>424</v>
      </c>
      <c r="AM27" s="205" t="s">
        <v>519</v>
      </c>
      <c r="AN27" s="205" t="s">
        <v>520</v>
      </c>
      <c r="AO27" s="205">
        <v>43997</v>
      </c>
      <c r="AP27" s="205" t="s">
        <v>521</v>
      </c>
      <c r="AQ27" s="207">
        <v>44039</v>
      </c>
      <c r="AR27" s="207">
        <v>43998</v>
      </c>
      <c r="AS27" s="207">
        <v>44039</v>
      </c>
      <c r="AT27" s="207">
        <v>44039</v>
      </c>
      <c r="AU27" s="207">
        <v>44559</v>
      </c>
      <c r="AV27" s="205" t="s">
        <v>522</v>
      </c>
      <c r="AW27" s="205" t="s">
        <v>424</v>
      </c>
      <c r="AX27" s="208">
        <v>44123.410530000001</v>
      </c>
      <c r="AY27" s="208">
        <v>57669.234320000003</v>
      </c>
      <c r="AZ27" s="206" t="s">
        <v>523</v>
      </c>
      <c r="BA27" s="206" t="s">
        <v>524</v>
      </c>
      <c r="BB27" s="206" t="s">
        <v>525</v>
      </c>
      <c r="BC27" s="206" t="s">
        <v>526</v>
      </c>
      <c r="BD27" s="206" t="str">
        <f>CONCATENATE(BB27,", ",BA27,", ",N27,", ","договор № ",BC27)</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513</v>
      </c>
      <c r="P28" s="206">
        <v>4909.56052</v>
      </c>
      <c r="Q28" s="205" t="s">
        <v>514</v>
      </c>
      <c r="R28" s="206">
        <v>4909.56052</v>
      </c>
      <c r="S28" s="205" t="s">
        <v>529</v>
      </c>
      <c r="T28" s="205" t="s">
        <v>529</v>
      </c>
      <c r="U28" s="205">
        <v>3</v>
      </c>
      <c r="V28" s="205">
        <v>1</v>
      </c>
      <c r="W28" s="205" t="s">
        <v>530</v>
      </c>
      <c r="X28" s="205">
        <v>4909.56052</v>
      </c>
      <c r="Y28" s="205" t="s">
        <v>517</v>
      </c>
      <c r="Z28" s="205">
        <v>1</v>
      </c>
      <c r="AA28" s="205">
        <v>4909.56052</v>
      </c>
      <c r="AB28" s="206">
        <v>4909.56052</v>
      </c>
      <c r="AC28" s="205" t="s">
        <v>530</v>
      </c>
      <c r="AD28" s="206">
        <v>5891.472624</v>
      </c>
      <c r="AE28" s="247">
        <f t="shared" ref="AE28:AE86" si="49">IF(IFERROR(AD28-AY28,"нд")&lt;0,0,IFERROR(AD28-AY28,"нд"))</f>
        <v>109.1660839999995</v>
      </c>
      <c r="AF28" s="205">
        <v>32211409121</v>
      </c>
      <c r="AG28" s="205" t="s">
        <v>531</v>
      </c>
      <c r="AH28" s="205" t="s">
        <v>532</v>
      </c>
      <c r="AI28" s="207">
        <v>44712</v>
      </c>
      <c r="AJ28" s="207">
        <v>44729</v>
      </c>
      <c r="AK28" s="207">
        <v>44735</v>
      </c>
      <c r="AL28" s="207">
        <v>44742</v>
      </c>
      <c r="AM28" s="205" t="s">
        <v>424</v>
      </c>
      <c r="AN28" s="205" t="s">
        <v>424</v>
      </c>
      <c r="AO28" s="205" t="s">
        <v>424</v>
      </c>
      <c r="AP28" s="205" t="s">
        <v>424</v>
      </c>
      <c r="AQ28" s="207">
        <v>44762</v>
      </c>
      <c r="AR28" s="207">
        <v>44767</v>
      </c>
      <c r="AS28" s="207">
        <v>44762</v>
      </c>
      <c r="AT28" s="207">
        <v>44767</v>
      </c>
      <c r="AU28" s="207">
        <v>45290</v>
      </c>
      <c r="AV28" s="205" t="s">
        <v>424</v>
      </c>
      <c r="AW28" s="205" t="s">
        <v>424</v>
      </c>
      <c r="AX28" s="206">
        <v>4818.58878</v>
      </c>
      <c r="AY28" s="206">
        <v>5782.3065400000005</v>
      </c>
      <c r="AZ28" s="206" t="s">
        <v>523</v>
      </c>
      <c r="BA28" s="206" t="s">
        <v>524</v>
      </c>
      <c r="BB28" s="206" t="s">
        <v>525</v>
      </c>
      <c r="BC28" s="206" t="s">
        <v>533</v>
      </c>
      <c r="BD28" s="206" t="str">
        <f t="shared" ref="BD28:BD86" si="50">CONCATENATE(BB28,", ",BA28,", ",N28,", ","договор № ",BC28)</f>
        <v>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534</v>
      </c>
      <c r="N29" s="205" t="s">
        <v>535</v>
      </c>
      <c r="O29" s="205" t="s">
        <v>513</v>
      </c>
      <c r="P29" s="206">
        <v>18700</v>
      </c>
      <c r="Q29" s="205" t="s">
        <v>514</v>
      </c>
      <c r="R29" s="206">
        <v>18700</v>
      </c>
      <c r="S29" s="205" t="s">
        <v>536</v>
      </c>
      <c r="T29" s="205" t="s">
        <v>536</v>
      </c>
      <c r="U29" s="205">
        <v>4</v>
      </c>
      <c r="V29" s="205">
        <v>1</v>
      </c>
      <c r="W29" s="205" t="s">
        <v>537</v>
      </c>
      <c r="X29" s="205">
        <v>16900</v>
      </c>
      <c r="Y29" s="205" t="s">
        <v>517</v>
      </c>
      <c r="Z29" s="205" t="s">
        <v>424</v>
      </c>
      <c r="AA29" s="205" t="s">
        <v>424</v>
      </c>
      <c r="AB29" s="206">
        <v>16900</v>
      </c>
      <c r="AC29" s="205" t="s">
        <v>537</v>
      </c>
      <c r="AD29" s="206">
        <v>20280</v>
      </c>
      <c r="AE29" s="247">
        <f t="shared" si="49"/>
        <v>0</v>
      </c>
      <c r="AF29" s="205">
        <v>32211216142</v>
      </c>
      <c r="AG29" s="205" t="s">
        <v>531</v>
      </c>
      <c r="AH29" s="205" t="s">
        <v>532</v>
      </c>
      <c r="AI29" s="207">
        <v>44651</v>
      </c>
      <c r="AJ29" s="207">
        <v>44632</v>
      </c>
      <c r="AK29" s="207">
        <v>44672</v>
      </c>
      <c r="AL29" s="207">
        <v>44678</v>
      </c>
      <c r="AM29" s="205" t="s">
        <v>424</v>
      </c>
      <c r="AN29" s="205" t="s">
        <v>424</v>
      </c>
      <c r="AO29" s="205" t="s">
        <v>424</v>
      </c>
      <c r="AP29" s="205" t="s">
        <v>424</v>
      </c>
      <c r="AQ29" s="207">
        <v>44698</v>
      </c>
      <c r="AR29" s="207">
        <v>44698</v>
      </c>
      <c r="AS29" s="207">
        <v>44698</v>
      </c>
      <c r="AT29" s="207">
        <v>44895</v>
      </c>
      <c r="AU29" s="207">
        <v>44865</v>
      </c>
      <c r="AV29" s="205" t="s">
        <v>424</v>
      </c>
      <c r="AW29" s="205" t="s">
        <v>424</v>
      </c>
      <c r="AX29" s="206">
        <v>16900</v>
      </c>
      <c r="AY29" s="206">
        <v>20280</v>
      </c>
      <c r="AZ29" s="206" t="s">
        <v>538</v>
      </c>
      <c r="BA29" s="206" t="s">
        <v>534</v>
      </c>
      <c r="BB29" s="206" t="s">
        <v>537</v>
      </c>
      <c r="BC29" s="206" t="s">
        <v>539</v>
      </c>
      <c r="BD29" s="206" t="str">
        <f t="shared" si="50"/>
        <v>Общество с ограниченной ответственностью "Инженерный центр Сибири", ТМЦ, Поставка выключателя бакового элегазового 220кВ, договор № ПД-22-00118 от 17.05.2022</v>
      </c>
    </row>
    <row r="30" spans="1:56" s="209" customFormat="1" ht="29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540</v>
      </c>
      <c r="N30" s="205" t="s">
        <v>541</v>
      </c>
      <c r="O30" s="205" t="s">
        <v>513</v>
      </c>
      <c r="P30" s="206">
        <v>3203</v>
      </c>
      <c r="Q30" s="205" t="s">
        <v>514</v>
      </c>
      <c r="R30" s="206">
        <v>3203</v>
      </c>
      <c r="S30" s="205" t="s">
        <v>529</v>
      </c>
      <c r="T30" s="205" t="s">
        <v>529</v>
      </c>
      <c r="U30" s="205">
        <v>4</v>
      </c>
      <c r="V30" s="205">
        <v>8</v>
      </c>
      <c r="W30" s="205" t="s">
        <v>542</v>
      </c>
      <c r="X30" s="205" t="s">
        <v>543</v>
      </c>
      <c r="Y30" s="205" t="s">
        <v>544</v>
      </c>
      <c r="Z30" s="205" t="s">
        <v>424</v>
      </c>
      <c r="AA30" s="205" t="s">
        <v>545</v>
      </c>
      <c r="AB30" s="206">
        <v>2390</v>
      </c>
      <c r="AC30" s="205" t="s">
        <v>546</v>
      </c>
      <c r="AD30" s="206">
        <v>2868</v>
      </c>
      <c r="AE30" s="247">
        <f t="shared" si="49"/>
        <v>1832.01</v>
      </c>
      <c r="AF30" s="205">
        <v>32009503773</v>
      </c>
      <c r="AG30" s="205" t="s">
        <v>531</v>
      </c>
      <c r="AH30" s="205" t="s">
        <v>532</v>
      </c>
      <c r="AI30" s="207">
        <v>44104</v>
      </c>
      <c r="AJ30" s="207">
        <v>44092</v>
      </c>
      <c r="AK30" s="207">
        <v>44104</v>
      </c>
      <c r="AL30" s="207">
        <v>44127</v>
      </c>
      <c r="AM30" s="205" t="s">
        <v>424</v>
      </c>
      <c r="AN30" s="205" t="s">
        <v>424</v>
      </c>
      <c r="AO30" s="205" t="s">
        <v>424</v>
      </c>
      <c r="AP30" s="205" t="s">
        <v>424</v>
      </c>
      <c r="AQ30" s="207">
        <v>44147</v>
      </c>
      <c r="AR30" s="207">
        <v>44141</v>
      </c>
      <c r="AS30" s="207">
        <v>44147</v>
      </c>
      <c r="AT30" s="207">
        <v>44141</v>
      </c>
      <c r="AU30" s="207">
        <v>44433</v>
      </c>
      <c r="AV30" s="205" t="s">
        <v>424</v>
      </c>
      <c r="AW30" s="205" t="s">
        <v>424</v>
      </c>
      <c r="AX30" s="206">
        <v>863.32500000000005</v>
      </c>
      <c r="AY30" s="206">
        <v>1035.99</v>
      </c>
      <c r="AZ30" s="206" t="s">
        <v>523</v>
      </c>
      <c r="BA30" s="206" t="s">
        <v>540</v>
      </c>
      <c r="BB30" s="206" t="s">
        <v>547</v>
      </c>
      <c r="BC30" s="206" t="s">
        <v>548</v>
      </c>
      <c r="BD30" s="206" t="str">
        <f t="shared" si="50"/>
        <v>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v>
      </c>
    </row>
    <row r="31" spans="1:56" s="209" customFormat="1" ht="213.7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540</v>
      </c>
      <c r="N31" s="205" t="s">
        <v>549</v>
      </c>
      <c r="O31" s="205" t="s">
        <v>513</v>
      </c>
      <c r="P31" s="206">
        <v>4059.78</v>
      </c>
      <c r="Q31" s="205" t="s">
        <v>514</v>
      </c>
      <c r="R31" s="206">
        <v>4059.78</v>
      </c>
      <c r="S31" s="205" t="s">
        <v>529</v>
      </c>
      <c r="T31" s="205" t="s">
        <v>529</v>
      </c>
      <c r="U31" s="205">
        <v>2</v>
      </c>
      <c r="V31" s="205">
        <v>8</v>
      </c>
      <c r="W31" s="205" t="s">
        <v>550</v>
      </c>
      <c r="X31" s="205" t="s">
        <v>551</v>
      </c>
      <c r="Y31" s="205" t="s">
        <v>552</v>
      </c>
      <c r="Z31" s="205">
        <v>1</v>
      </c>
      <c r="AA31" s="205" t="s">
        <v>553</v>
      </c>
      <c r="AB31" s="206">
        <v>3100</v>
      </c>
      <c r="AC31" s="205" t="s">
        <v>554</v>
      </c>
      <c r="AD31" s="206">
        <v>3720</v>
      </c>
      <c r="AE31" s="247">
        <f t="shared" si="49"/>
        <v>0</v>
      </c>
      <c r="AF31" s="205">
        <v>32008820147</v>
      </c>
      <c r="AG31" s="205" t="s">
        <v>531</v>
      </c>
      <c r="AH31" s="205" t="s">
        <v>532</v>
      </c>
      <c r="AI31" s="207">
        <v>43861</v>
      </c>
      <c r="AJ31" s="207">
        <v>43860</v>
      </c>
      <c r="AK31" s="207">
        <v>43872</v>
      </c>
      <c r="AL31" s="207">
        <v>43889</v>
      </c>
      <c r="AM31" s="205" t="s">
        <v>424</v>
      </c>
      <c r="AN31" s="205" t="s">
        <v>424</v>
      </c>
      <c r="AO31" s="205" t="s">
        <v>424</v>
      </c>
      <c r="AP31" s="205" t="s">
        <v>424</v>
      </c>
      <c r="AQ31" s="207">
        <v>43909</v>
      </c>
      <c r="AR31" s="207">
        <v>43910</v>
      </c>
      <c r="AS31" s="207">
        <v>43909</v>
      </c>
      <c r="AT31" s="207">
        <v>43910</v>
      </c>
      <c r="AU31" s="207">
        <v>44104</v>
      </c>
      <c r="AV31" s="205" t="s">
        <v>424</v>
      </c>
      <c r="AW31" s="205" t="s">
        <v>424</v>
      </c>
      <c r="AX31" s="206">
        <v>3100</v>
      </c>
      <c r="AY31" s="206">
        <v>3720</v>
      </c>
      <c r="AZ31" s="206" t="s">
        <v>523</v>
      </c>
      <c r="BA31" s="206" t="s">
        <v>540</v>
      </c>
      <c r="BB31" s="206" t="s">
        <v>555</v>
      </c>
      <c r="BC31" s="206" t="s">
        <v>556</v>
      </c>
      <c r="BD31" s="206" t="str">
        <f t="shared" si="50"/>
        <v>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534</v>
      </c>
      <c r="N32" s="205" t="s">
        <v>557</v>
      </c>
      <c r="O32" s="205" t="s">
        <v>513</v>
      </c>
      <c r="P32" s="206">
        <v>13440.6</v>
      </c>
      <c r="Q32" s="205" t="s">
        <v>514</v>
      </c>
      <c r="R32" s="206">
        <v>13440.6</v>
      </c>
      <c r="S32" s="205" t="s">
        <v>558</v>
      </c>
      <c r="T32" s="205" t="s">
        <v>558</v>
      </c>
      <c r="U32" s="205">
        <v>5</v>
      </c>
      <c r="V32" s="205">
        <v>1</v>
      </c>
      <c r="W32" s="205" t="s">
        <v>559</v>
      </c>
      <c r="X32" s="205">
        <v>13440.6</v>
      </c>
      <c r="Y32" s="205" t="s">
        <v>517</v>
      </c>
      <c r="Z32" s="205" t="s">
        <v>424</v>
      </c>
      <c r="AA32" s="205">
        <v>13440.6</v>
      </c>
      <c r="AB32" s="206">
        <v>13383.1</v>
      </c>
      <c r="AC32" s="205" t="s">
        <v>559</v>
      </c>
      <c r="AD32" s="206">
        <v>16059.72</v>
      </c>
      <c r="AE32" s="247">
        <f t="shared" si="49"/>
        <v>0</v>
      </c>
      <c r="AF32" s="205">
        <v>32312340226</v>
      </c>
      <c r="AG32" s="205" t="s">
        <v>531</v>
      </c>
      <c r="AH32" s="205" t="s">
        <v>532</v>
      </c>
      <c r="AI32" s="207">
        <v>45046</v>
      </c>
      <c r="AJ32" s="207">
        <v>45044</v>
      </c>
      <c r="AK32" s="207">
        <v>45057</v>
      </c>
      <c r="AL32" s="207">
        <v>45072</v>
      </c>
      <c r="AM32" s="205" t="s">
        <v>424</v>
      </c>
      <c r="AN32" s="205" t="s">
        <v>424</v>
      </c>
      <c r="AO32" s="205" t="s">
        <v>424</v>
      </c>
      <c r="AP32" s="205" t="s">
        <v>424</v>
      </c>
      <c r="AQ32" s="207">
        <v>45092</v>
      </c>
      <c r="AR32" s="207">
        <v>45090</v>
      </c>
      <c r="AS32" s="207">
        <v>45092</v>
      </c>
      <c r="AT32" s="207">
        <v>45090</v>
      </c>
      <c r="AU32" s="207">
        <v>45195</v>
      </c>
      <c r="AV32" s="205" t="s">
        <v>424</v>
      </c>
      <c r="AW32" s="205" t="s">
        <v>424</v>
      </c>
      <c r="AX32" s="206">
        <v>13383.1</v>
      </c>
      <c r="AY32" s="206">
        <v>16059.72</v>
      </c>
      <c r="AZ32" s="206" t="s">
        <v>538</v>
      </c>
      <c r="BA32" s="206" t="s">
        <v>534</v>
      </c>
      <c r="BB32" s="206" t="s">
        <v>559</v>
      </c>
      <c r="BC32" s="206" t="s">
        <v>560</v>
      </c>
      <c r="BD32" s="206" t="str">
        <f t="shared" si="50"/>
        <v>ООО "ИЦС", ТМЦ, Поставка разъединителей ПС 220 кВ Чулымская, договор № ПД-23-00194 от 13.06.2023</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534</v>
      </c>
      <c r="N33" s="205" t="s">
        <v>561</v>
      </c>
      <c r="O33" s="205" t="s">
        <v>513</v>
      </c>
      <c r="P33" s="206">
        <v>31461.200000000001</v>
      </c>
      <c r="Q33" s="205" t="s">
        <v>514</v>
      </c>
      <c r="R33" s="206">
        <v>31461.200000000001</v>
      </c>
      <c r="S33" s="205" t="s">
        <v>558</v>
      </c>
      <c r="T33" s="205" t="s">
        <v>558</v>
      </c>
      <c r="U33" s="205">
        <v>5</v>
      </c>
      <c r="V33" s="205">
        <v>2</v>
      </c>
      <c r="W33" s="205" t="s">
        <v>562</v>
      </c>
      <c r="X33" s="205">
        <v>31461.200000000001</v>
      </c>
      <c r="Y33" s="205" t="s">
        <v>563</v>
      </c>
      <c r="Z33" s="205">
        <v>1</v>
      </c>
      <c r="AA33" s="205">
        <v>31461.200000000001</v>
      </c>
      <c r="AB33" s="206">
        <v>31303.200000000001</v>
      </c>
      <c r="AC33" s="205" t="s">
        <v>559</v>
      </c>
      <c r="AD33" s="206">
        <v>37563.839999999997</v>
      </c>
      <c r="AE33" s="247">
        <f t="shared" si="49"/>
        <v>33636.119999999995</v>
      </c>
      <c r="AF33" s="205">
        <v>32312662180</v>
      </c>
      <c r="AG33" s="205" t="s">
        <v>531</v>
      </c>
      <c r="AH33" s="205" t="s">
        <v>532</v>
      </c>
      <c r="AI33" s="207">
        <v>45168</v>
      </c>
      <c r="AJ33" s="207">
        <v>45148</v>
      </c>
      <c r="AK33" s="207">
        <v>45167</v>
      </c>
      <c r="AL33" s="207">
        <v>45176</v>
      </c>
      <c r="AM33" s="205" t="s">
        <v>424</v>
      </c>
      <c r="AN33" s="205" t="s">
        <v>424</v>
      </c>
      <c r="AO33" s="205" t="s">
        <v>424</v>
      </c>
      <c r="AP33" s="205" t="s">
        <v>424</v>
      </c>
      <c r="AQ33" s="207">
        <v>45196</v>
      </c>
      <c r="AR33" s="207">
        <v>45188</v>
      </c>
      <c r="AS33" s="207">
        <v>45196</v>
      </c>
      <c r="AT33" s="207">
        <v>45188</v>
      </c>
      <c r="AU33" s="207">
        <v>45288</v>
      </c>
      <c r="AV33" s="205" t="s">
        <v>424</v>
      </c>
      <c r="AW33" s="205" t="s">
        <v>424</v>
      </c>
      <c r="AX33" s="206">
        <v>3273.1</v>
      </c>
      <c r="AY33" s="206">
        <v>3927.72</v>
      </c>
      <c r="AZ33" s="206" t="s">
        <v>538</v>
      </c>
      <c r="BA33" s="206" t="s">
        <v>534</v>
      </c>
      <c r="BB33" s="206" t="s">
        <v>559</v>
      </c>
      <c r="BC33" s="206" t="s">
        <v>564</v>
      </c>
      <c r="BD33" s="206" t="str">
        <f t="shared" si="50"/>
        <v>ООО "ИЦС", ТМЦ, Поставка разъединителей на ПС 220 кВ Чулымскую, договор № ПД-23-00289 от 19.09.2023</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M_00.0006.000006</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578</v>
      </c>
    </row>
    <row r="22" spans="1:2" x14ac:dyDescent="0.25">
      <c r="A22" s="153" t="s">
        <v>305</v>
      </c>
      <c r="B22" s="153" t="s">
        <v>583</v>
      </c>
    </row>
    <row r="23" spans="1:2" x14ac:dyDescent="0.25">
      <c r="A23" s="153" t="s">
        <v>287</v>
      </c>
      <c r="B23" s="153" t="s">
        <v>567</v>
      </c>
    </row>
    <row r="24" spans="1:2" x14ac:dyDescent="0.25">
      <c r="A24" s="153" t="s">
        <v>306</v>
      </c>
      <c r="B24" s="153" t="s">
        <v>424</v>
      </c>
    </row>
    <row r="25" spans="1:2" x14ac:dyDescent="0.25">
      <c r="A25" s="154" t="s">
        <v>307</v>
      </c>
      <c r="B25" s="171">
        <v>47117</v>
      </c>
    </row>
    <row r="26" spans="1:2" x14ac:dyDescent="0.25">
      <c r="A26" s="154" t="s">
        <v>308</v>
      </c>
      <c r="B26" s="156" t="s">
        <v>582</v>
      </c>
    </row>
    <row r="27" spans="1:2" x14ac:dyDescent="0.25">
      <c r="A27" s="156" t="str">
        <f>CONCATENATE("Стоимость проекта в прогнозных ценах, млн. руб. с НДС")</f>
        <v>Стоимость проекта в прогнозных ценах, млн. руб. с НДС</v>
      </c>
      <c r="B27" s="167">
        <v>215.05211964297365</v>
      </c>
    </row>
    <row r="28" spans="1:2" ht="93.75" customHeight="1" x14ac:dyDescent="0.25">
      <c r="A28" s="155" t="s">
        <v>309</v>
      </c>
      <c r="B28" s="158" t="s">
        <v>568</v>
      </c>
    </row>
    <row r="29" spans="1:2" ht="28.5" x14ac:dyDescent="0.25">
      <c r="A29" s="156" t="s">
        <v>310</v>
      </c>
      <c r="B29" s="167">
        <f>'7. Паспорт отчет о закупке'!$AB$26*1.2/1000</f>
        <v>142.18468862399999</v>
      </c>
    </row>
    <row r="30" spans="1:2" ht="28.5" x14ac:dyDescent="0.25">
      <c r="A30" s="156" t="s">
        <v>311</v>
      </c>
      <c r="B30" s="167">
        <f>'7. Паспорт отчет о закупке'!$AD$26/1000</f>
        <v>142.18468862399999</v>
      </c>
    </row>
    <row r="31" spans="1:2" x14ac:dyDescent="0.25">
      <c r="A31" s="155" t="s">
        <v>312</v>
      </c>
      <c r="B31" s="157"/>
    </row>
    <row r="32" spans="1:2" ht="28.5" x14ac:dyDescent="0.25">
      <c r="A32" s="156" t="s">
        <v>313</v>
      </c>
      <c r="B32" s="167">
        <f>SUM(SUMIF(B33,"&gt;0",B33),SUMIF(B37,"&gt;0",B37),SUMIF(B41,"&gt;0",B41),SUMIF(B45,"&gt;0",B45),SUMIF(B49,"&gt;0",B49),SUMIF(B53,"&gt;0",B53))</f>
        <v>68.28112862399999</v>
      </c>
    </row>
    <row r="33" spans="1:2" ht="30" x14ac:dyDescent="0.25">
      <c r="A33" s="164" t="s">
        <v>432</v>
      </c>
      <c r="B33" s="157">
        <f>IFERROR(IF(VLOOKUP(1,'7. Паспорт отчет о закупке'!$A$27:$CD$86,52,0)="ИП",VLOOKUP(1,'7. Паспорт отчет о закупке'!$A$27:$CD$86,30,0)/1000,"нд"),"нд")</f>
        <v>55.801655999999994</v>
      </c>
    </row>
    <row r="34" spans="1:2" x14ac:dyDescent="0.25">
      <c r="A34" s="164" t="s">
        <v>314</v>
      </c>
      <c r="B34" s="157">
        <f>IF(B33="нд","нд",$B33/$B$27*100)</f>
        <v>25.94796837745244</v>
      </c>
    </row>
    <row r="35" spans="1:2" x14ac:dyDescent="0.25">
      <c r="A35" s="164" t="s">
        <v>315</v>
      </c>
      <c r="B35" s="157">
        <f>IF(VLOOKUP(1,'7. Паспорт отчет о закупке'!$A$27:$CD$86,52,0)="ИП",VLOOKUP(1,'7. Паспорт отчет о закупке'!$A$27:$CD$86,51,0)/1000,"нд")</f>
        <v>57.669234320000001</v>
      </c>
    </row>
    <row r="36" spans="1:2" x14ac:dyDescent="0.25">
      <c r="A36" s="164" t="s">
        <v>436</v>
      </c>
      <c r="B36" s="157">
        <f>IF(VLOOKUP(1,'7. Паспорт отчет о закупке'!$A$27:$CD$86,52,0)="ИП",VLOOKUP(1,'7. Паспорт отчет о закупке'!$A$27:$CD$86,50,0)/1000,"нд")</f>
        <v>44.123410530000001</v>
      </c>
    </row>
    <row r="37" spans="1:2" ht="30" x14ac:dyDescent="0.25">
      <c r="A37" s="164" t="s">
        <v>432</v>
      </c>
      <c r="B37" s="157">
        <f>IF(VLOOKUP(2,'7. Паспорт отчет о закупке'!$A$27:$CD$86,52,0)="ИП",VLOOKUP(2,'7. Паспорт отчет о закупке'!$A$27:$CD$86,30,0)/1000,"нд")</f>
        <v>5.8914726240000004</v>
      </c>
    </row>
    <row r="38" spans="1:2" x14ac:dyDescent="0.25">
      <c r="A38" s="164" t="s">
        <v>314</v>
      </c>
      <c r="B38" s="157">
        <f>IF(B37="нд","нд",$B37/$B$27*100)</f>
        <v>2.739555710392874</v>
      </c>
    </row>
    <row r="39" spans="1:2" x14ac:dyDescent="0.25">
      <c r="A39" s="164" t="s">
        <v>315</v>
      </c>
      <c r="B39" s="157">
        <f>IF(VLOOKUP(2,'7. Паспорт отчет о закупке'!$A$27:$CD$86,52,0)="ИП",VLOOKUP(2,'7. Паспорт отчет о закупке'!$A$27:$CD$86,51,0)/1000,"нд")</f>
        <v>5.7823065400000004</v>
      </c>
    </row>
    <row r="40" spans="1:2" x14ac:dyDescent="0.25">
      <c r="A40" s="164" t="s">
        <v>436</v>
      </c>
      <c r="B40" s="157">
        <f>IF(VLOOKUP(2,'7. Паспорт отчет о закупке'!$A$27:$CD$86,52,0)="ИП",VLOOKUP(2,'7. Паспорт отчет о закупке'!$A$27:$CD$86,50,0)/1000,"нд")</f>
        <v>4.8185887799999998</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f>IF(VLOOKUP(4,'7. Паспорт отчет о закупке'!$A$27:$CD$86,52,0)="ИП",VLOOKUP(4,'7. Паспорт отчет о закупке'!$A$27:$CD$86,30,0)/1000,"нд")</f>
        <v>2.8679999999999999</v>
      </c>
    </row>
    <row r="46" spans="1:2" x14ac:dyDescent="0.25">
      <c r="A46" s="164" t="s">
        <v>314</v>
      </c>
      <c r="B46" s="157">
        <f>IF(B45="нд","нд",$B45/$B$27*100)</f>
        <v>1.3336301938159973</v>
      </c>
    </row>
    <row r="47" spans="1:2" x14ac:dyDescent="0.25">
      <c r="A47" s="164" t="s">
        <v>315</v>
      </c>
      <c r="B47" s="157">
        <f>IF(VLOOKUP(4,'7. Паспорт отчет о закупке'!$A$27:$CD$86,52,0)="ИП",VLOOKUP(4,'7. Паспорт отчет о закупке'!$A$27:$CD$86,51,0)/1000,"нд")</f>
        <v>1.03599</v>
      </c>
    </row>
    <row r="48" spans="1:2" x14ac:dyDescent="0.25">
      <c r="A48" s="164" t="s">
        <v>436</v>
      </c>
      <c r="B48" s="157">
        <f>IF(VLOOKUP(4,'7. Паспорт отчет о закупке'!$A$27:$CD$86,52,0)="ИП",VLOOKUP(4,'7. Паспорт отчет о закупке'!$A$27:$CD$86,50,0)/1000,"нд")</f>
        <v>0.86332500000000001</v>
      </c>
    </row>
    <row r="49" spans="1:2" ht="30" x14ac:dyDescent="0.25">
      <c r="A49" s="164" t="s">
        <v>432</v>
      </c>
      <c r="B49" s="157">
        <f>IF(VLOOKUP(5,'7. Паспорт отчет о закупке'!$A$27:$CD$86,52,0)="ИП",VLOOKUP(5,'7. Паспорт отчет о закупке'!$A$27:$CD$86,30,0)/1000,"нд")</f>
        <v>3.72</v>
      </c>
    </row>
    <row r="50" spans="1:2" x14ac:dyDescent="0.25">
      <c r="A50" s="164" t="s">
        <v>314</v>
      </c>
      <c r="B50" s="157">
        <f>IF(B49="нд","нд",$B49/$B$27*100)</f>
        <v>1.729813222104432</v>
      </c>
    </row>
    <row r="51" spans="1:2" x14ac:dyDescent="0.25">
      <c r="A51" s="164" t="s">
        <v>315</v>
      </c>
      <c r="B51" s="157">
        <f>IF(VLOOKUP(5,'7. Паспорт отчет о закупке'!$A$27:$CD$86,52,0)="ИП",VLOOKUP(5,'7. Паспорт отчет о закупке'!$A$27:$CD$86,51,0)/1000,"нд")</f>
        <v>3.72</v>
      </c>
    </row>
    <row r="52" spans="1:2" x14ac:dyDescent="0.25">
      <c r="A52" s="164" t="s">
        <v>436</v>
      </c>
      <c r="B52" s="157">
        <f>IF(VLOOKUP(5,'7. Паспорт отчет о закупке'!$A$27:$CD$86,52,0)="ИП",VLOOKUP(5,'7. Паспорт отчет о закупке'!$A$27:$CD$86,50,0)/1000,"нд")</f>
        <v>3.1</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20.28</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20.28</v>
      </c>
    </row>
    <row r="67" spans="1:2" x14ac:dyDescent="0.25">
      <c r="A67" s="164" t="s">
        <v>314</v>
      </c>
      <c r="B67" s="157">
        <f>IF(B66="нд","нд",$B66/$B$27*100)</f>
        <v>9.4302720817951275</v>
      </c>
    </row>
    <row r="68" spans="1:2" x14ac:dyDescent="0.25">
      <c r="A68" s="164" t="s">
        <v>315</v>
      </c>
      <c r="B68" s="157">
        <f>IF(VLOOKUP(3,'7. Паспорт отчет о закупке'!$A$27:$CD$86,52,0)="ПД",VLOOKUP(3,'7. Паспорт отчет о закупке'!$A$27:$CD$86,51,0)/1000,"нд")</f>
        <v>20.28</v>
      </c>
    </row>
    <row r="69" spans="1:2" x14ac:dyDescent="0.25">
      <c r="A69" s="164" t="s">
        <v>436</v>
      </c>
      <c r="B69" s="157">
        <f>IF(VLOOKUP(3,'7. Паспорт отчет о закупке'!$A$27:$CD$86,52,0)="ПД",VLOOKUP(3,'7. Паспорт отчет о закупке'!$A$27:$CD$86,50,0)/1000,"нд")</f>
        <v>16.899999999999999</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28.687524087845318</v>
      </c>
      <c r="C85" s="188"/>
      <c r="D85" s="189"/>
      <c r="E85" s="188"/>
      <c r="F85" s="188"/>
      <c r="G85" s="188"/>
    </row>
    <row r="86" spans="1:7" x14ac:dyDescent="0.25">
      <c r="A86" s="159" t="s">
        <v>320</v>
      </c>
      <c r="B86" s="162">
        <f>SUMIF('7. Паспорт отчет о закупке'!$BA$27:$BA$86,"ТМЦ",'7. Паспорт отчет о закупке'!$AD$27:$AD$86)/1000/$B$27*100</f>
        <v>34.365418077577473</v>
      </c>
      <c r="C86" s="188"/>
      <c r="D86" s="189"/>
      <c r="E86" s="188"/>
      <c r="F86" s="188"/>
      <c r="G86" s="188"/>
    </row>
    <row r="87" spans="1:7" x14ac:dyDescent="0.25">
      <c r="A87" s="159" t="s">
        <v>321</v>
      </c>
      <c r="B87" s="162">
        <f>SUMIF('7. Паспорт отчет о закупке'!$BA$27:$BA$86,"ПИР",'7. Паспорт отчет о закупке'!$AD$27:$AD$86)/1000/$B$27*100</f>
        <v>3.0634434159204291</v>
      </c>
      <c r="C87" s="188"/>
      <c r="D87" s="189"/>
      <c r="E87" s="188"/>
      <c r="F87" s="188"/>
      <c r="G87" s="188"/>
    </row>
    <row r="88" spans="1:7" ht="30" x14ac:dyDescent="0.25">
      <c r="A88" s="154" t="s">
        <v>438</v>
      </c>
      <c r="B88" s="167">
        <v>14.994110289883643</v>
      </c>
      <c r="C88" s="188"/>
      <c r="D88" s="188"/>
      <c r="E88" s="188"/>
      <c r="F88" s="188"/>
      <c r="G88" s="188"/>
    </row>
    <row r="89" spans="1:7" x14ac:dyDescent="0.25">
      <c r="A89" s="154" t="s">
        <v>322</v>
      </c>
      <c r="B89" s="167">
        <f>'6.2. Паспорт фин осв ввод'!D24-'6.2. Паспорт фин осв ввод'!E24</f>
        <v>100.75937107971252</v>
      </c>
    </row>
    <row r="90" spans="1:7" x14ac:dyDescent="0.25">
      <c r="A90" s="154" t="s">
        <v>435</v>
      </c>
      <c r="B90" s="167">
        <f>IFERROR(SUM(B91*1.2/$B$27*100),0)</f>
        <v>47.035244994528881</v>
      </c>
    </row>
    <row r="91" spans="1:7" x14ac:dyDescent="0.25">
      <c r="A91" s="154" t="s">
        <v>440</v>
      </c>
      <c r="B91" s="167">
        <f>'6.2. Паспорт фин осв ввод'!D34-'6.2. Паспорт фин осв ввод'!E34</f>
        <v>84.29190945000002</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
Общество с ограниченной ответственностью "Инженерный центр Сибири", ТМЦ, Поставка выключателя бакового элегазового 220кВ, договор № ПД-22-00118 от 17.05.2022
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
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
ООО "ИЦС", ТМЦ, Поставка разъединителей ПС 220 кВ Чулымская, договор № ПД-23-00194 от 13.06.2023
ООО "ИЦС", ТМЦ, Поставка разъединителей на ПС 220 кВ Чулымскую, договор № ПД-23-00289 от 19.09.2023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M_00.0006.000006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578</v>
      </c>
      <c r="C25" s="150" t="s">
        <v>578</v>
      </c>
      <c r="D25" s="150" t="s">
        <v>381</v>
      </c>
      <c r="E25" s="150" t="s">
        <v>584</v>
      </c>
      <c r="F25" s="150" t="s">
        <v>585</v>
      </c>
      <c r="G25" s="150" t="s">
        <v>586</v>
      </c>
      <c r="H25" s="150" t="s">
        <v>586</v>
      </c>
      <c r="I25" s="150">
        <v>1983</v>
      </c>
      <c r="J25" s="150">
        <v>2023</v>
      </c>
      <c r="K25" s="150">
        <v>1983</v>
      </c>
      <c r="L25" s="150">
        <v>220</v>
      </c>
      <c r="M25" s="150">
        <v>220</v>
      </c>
      <c r="N25" s="150" t="s">
        <v>424</v>
      </c>
      <c r="O25" s="150" t="s">
        <v>424</v>
      </c>
      <c r="P25" s="235">
        <v>2012</v>
      </c>
      <c r="Q25" s="150" t="s">
        <v>587</v>
      </c>
      <c r="R25" s="150" t="s">
        <v>588</v>
      </c>
      <c r="S25" s="150" t="s">
        <v>424</v>
      </c>
      <c r="T25" s="150" t="s">
        <v>424</v>
      </c>
    </row>
    <row r="26" spans="1:20" s="151" customFormat="1" ht="112.5" customHeight="1" x14ac:dyDescent="0.25">
      <c r="A26" s="150">
        <v>2</v>
      </c>
      <c r="B26" s="150" t="s">
        <v>578</v>
      </c>
      <c r="C26" s="150" t="s">
        <v>578</v>
      </c>
      <c r="D26" s="150" t="s">
        <v>381</v>
      </c>
      <c r="E26" s="150" t="s">
        <v>589</v>
      </c>
      <c r="F26" s="150" t="s">
        <v>585</v>
      </c>
      <c r="G26" s="150" t="s">
        <v>590</v>
      </c>
      <c r="H26" s="150" t="s">
        <v>590</v>
      </c>
      <c r="I26" s="150" t="s">
        <v>591</v>
      </c>
      <c r="J26" s="150">
        <v>2020</v>
      </c>
      <c r="K26" s="150" t="s">
        <v>592</v>
      </c>
      <c r="L26" s="150">
        <v>220</v>
      </c>
      <c r="M26" s="150">
        <v>220</v>
      </c>
      <c r="N26" s="150" t="s">
        <v>424</v>
      </c>
      <c r="O26" s="150" t="s">
        <v>424</v>
      </c>
      <c r="P26" s="150">
        <v>2019</v>
      </c>
      <c r="Q26" s="150" t="s">
        <v>587</v>
      </c>
      <c r="R26" s="150" t="s">
        <v>588</v>
      </c>
      <c r="S26" s="150" t="s">
        <v>424</v>
      </c>
      <c r="T26" s="150" t="s">
        <v>424</v>
      </c>
    </row>
    <row r="27" spans="1:20" s="151" customFormat="1" ht="112.5" customHeight="1" x14ac:dyDescent="0.25">
      <c r="A27" s="150">
        <v>3</v>
      </c>
      <c r="B27" s="150" t="s">
        <v>578</v>
      </c>
      <c r="C27" s="150" t="s">
        <v>578</v>
      </c>
      <c r="D27" s="150" t="s">
        <v>381</v>
      </c>
      <c r="E27" s="150" t="s">
        <v>589</v>
      </c>
      <c r="F27" s="150" t="s">
        <v>585</v>
      </c>
      <c r="G27" s="150" t="s">
        <v>593</v>
      </c>
      <c r="H27" s="150" t="s">
        <v>593</v>
      </c>
      <c r="I27" s="150" t="s">
        <v>591</v>
      </c>
      <c r="J27" s="150">
        <v>2020</v>
      </c>
      <c r="K27" s="150" t="s">
        <v>594</v>
      </c>
      <c r="L27" s="150">
        <v>220</v>
      </c>
      <c r="M27" s="150">
        <v>220</v>
      </c>
      <c r="N27" s="150" t="s">
        <v>424</v>
      </c>
      <c r="O27" s="150" t="s">
        <v>424</v>
      </c>
      <c r="P27" s="150">
        <v>2015</v>
      </c>
      <c r="Q27" s="150" t="s">
        <v>587</v>
      </c>
      <c r="R27" s="150" t="s">
        <v>588</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M_00.0006.000006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M_00.0006.000006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576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578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579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580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581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43889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9"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M_00.0006.000006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43889</v>
      </c>
      <c r="D25" s="285">
        <v>45654</v>
      </c>
      <c r="E25" s="285">
        <v>43889</v>
      </c>
      <c r="F25" s="285">
        <v>45654</v>
      </c>
      <c r="G25" s="286">
        <v>1</v>
      </c>
      <c r="H25" s="286">
        <v>0</v>
      </c>
      <c r="I25" s="280" t="s">
        <v>569</v>
      </c>
      <c r="J25" s="280" t="s">
        <v>424</v>
      </c>
      <c r="L25" s="246"/>
      <c r="N25" s="238" t="str">
        <f>CONCATENATE($A$12,A25)</f>
        <v>M_00.0006.0000061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M_00.0006.0000061.1.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M_00.0006.0000061.2.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M_00.0006.0000061.2.1.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M_00.0006.0000061.3.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M_00.0006.0000061.4.</v>
      </c>
    </row>
    <row r="31" spans="1:14" x14ac:dyDescent="0.25">
      <c r="A31" s="281" t="s">
        <v>460</v>
      </c>
      <c r="B31" s="281" t="s">
        <v>461</v>
      </c>
      <c r="C31" s="285">
        <v>43889</v>
      </c>
      <c r="D31" s="285">
        <v>45356</v>
      </c>
      <c r="E31" s="285">
        <v>43889</v>
      </c>
      <c r="F31" s="285">
        <v>45356</v>
      </c>
      <c r="G31" s="286">
        <v>1</v>
      </c>
      <c r="H31" s="286" t="s">
        <v>598</v>
      </c>
      <c r="I31" s="280" t="s">
        <v>517</v>
      </c>
      <c r="J31" s="281" t="s">
        <v>424</v>
      </c>
      <c r="N31" s="238" t="str">
        <f t="shared" si="0"/>
        <v>M_00.0006.0000061.5.</v>
      </c>
    </row>
    <row r="32" spans="1:14" x14ac:dyDescent="0.25">
      <c r="A32" s="281" t="s">
        <v>462</v>
      </c>
      <c r="B32" s="281" t="s">
        <v>463</v>
      </c>
      <c r="C32" s="285">
        <v>44104</v>
      </c>
      <c r="D32" s="285">
        <v>45654</v>
      </c>
      <c r="E32" s="285">
        <v>44104</v>
      </c>
      <c r="F32" s="285">
        <v>45654</v>
      </c>
      <c r="G32" s="286">
        <v>1</v>
      </c>
      <c r="H32" s="286" t="s">
        <v>598</v>
      </c>
      <c r="I32" s="280" t="s">
        <v>517</v>
      </c>
      <c r="J32" s="281" t="s">
        <v>424</v>
      </c>
      <c r="N32" s="238" t="str">
        <f t="shared" si="0"/>
        <v>M_00.0006.0000061.6.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M_00.0006.0000061.7.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M_00.0006.0000061.8.</v>
      </c>
    </row>
    <row r="35" spans="1:14" x14ac:dyDescent="0.25">
      <c r="A35" s="281" t="s">
        <v>468</v>
      </c>
      <c r="B35" s="281" t="s">
        <v>469</v>
      </c>
      <c r="C35" s="285">
        <v>44867</v>
      </c>
      <c r="D35" s="285">
        <v>45654</v>
      </c>
      <c r="E35" s="285">
        <v>44867</v>
      </c>
      <c r="F35" s="285">
        <v>45654</v>
      </c>
      <c r="G35" s="286">
        <v>1</v>
      </c>
      <c r="H35" s="286" t="s">
        <v>598</v>
      </c>
      <c r="I35" s="280" t="s">
        <v>517</v>
      </c>
      <c r="J35" s="281" t="s">
        <v>424</v>
      </c>
      <c r="N35" s="238" t="str">
        <f t="shared" si="0"/>
        <v>M_00.0006.0000061.9.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M_00.0006.0000061.10.</v>
      </c>
    </row>
    <row r="37" spans="1:14" x14ac:dyDescent="0.25">
      <c r="A37" s="281" t="s">
        <v>472</v>
      </c>
      <c r="B37" s="281" t="s">
        <v>473</v>
      </c>
      <c r="C37" s="285">
        <v>44104</v>
      </c>
      <c r="D37" s="285">
        <v>45654</v>
      </c>
      <c r="E37" s="285">
        <v>44104</v>
      </c>
      <c r="F37" s="285">
        <v>45654</v>
      </c>
      <c r="G37" s="286">
        <v>1</v>
      </c>
      <c r="H37" s="286" t="s">
        <v>598</v>
      </c>
      <c r="I37" s="280" t="s">
        <v>517</v>
      </c>
      <c r="J37" s="281" t="s">
        <v>424</v>
      </c>
      <c r="N37" s="238" t="str">
        <f t="shared" si="0"/>
        <v>M_00.0006.0000061.11.</v>
      </c>
    </row>
    <row r="38" spans="1:14" x14ac:dyDescent="0.25">
      <c r="A38" s="280">
        <v>2</v>
      </c>
      <c r="B38" s="280" t="s">
        <v>509</v>
      </c>
      <c r="C38" s="285">
        <v>43997</v>
      </c>
      <c r="D38" s="285">
        <v>46894</v>
      </c>
      <c r="E38" s="285">
        <v>43997</v>
      </c>
      <c r="F38" s="285" t="s">
        <v>424</v>
      </c>
      <c r="G38" s="286">
        <v>0.75</v>
      </c>
      <c r="H38" s="286">
        <v>0</v>
      </c>
      <c r="I38" s="280" t="s">
        <v>569</v>
      </c>
      <c r="J38" s="280" t="s">
        <v>424</v>
      </c>
      <c r="N38" s="238" t="str">
        <f t="shared" si="0"/>
        <v>M_00.0006.0000062</v>
      </c>
    </row>
    <row r="39" spans="1:14" ht="173.25" customHeight="1" x14ac:dyDescent="0.25">
      <c r="A39" s="282" t="s">
        <v>474</v>
      </c>
      <c r="B39" s="281" t="s">
        <v>475</v>
      </c>
      <c r="C39" s="285">
        <v>43997</v>
      </c>
      <c r="D39" s="285">
        <v>46884</v>
      </c>
      <c r="E39" s="285">
        <v>43997</v>
      </c>
      <c r="F39" s="285" t="s">
        <v>424</v>
      </c>
      <c r="G39" s="286" t="s">
        <v>597</v>
      </c>
      <c r="H39" s="286" t="s">
        <v>598</v>
      </c>
      <c r="I39" s="280" t="s">
        <v>570</v>
      </c>
      <c r="J39" s="281" t="s">
        <v>424</v>
      </c>
      <c r="N39" s="238" t="str">
        <f t="shared" si="0"/>
        <v>M_00.0006.0000062.1.</v>
      </c>
    </row>
    <row r="40" spans="1:14" ht="141.75" x14ac:dyDescent="0.25">
      <c r="A40" s="282" t="s">
        <v>476</v>
      </c>
      <c r="B40" s="281" t="s">
        <v>477</v>
      </c>
      <c r="C40" s="285">
        <v>43998</v>
      </c>
      <c r="D40" s="285">
        <v>46894</v>
      </c>
      <c r="E40" s="285">
        <v>43998</v>
      </c>
      <c r="F40" s="285" t="s">
        <v>424</v>
      </c>
      <c r="G40" s="286" t="s">
        <v>597</v>
      </c>
      <c r="H40" s="286" t="s">
        <v>598</v>
      </c>
      <c r="I40" s="280" t="s">
        <v>570</v>
      </c>
      <c r="J40" s="281" t="s">
        <v>424</v>
      </c>
      <c r="N40" s="238" t="str">
        <f t="shared" si="0"/>
        <v>M_00.0006.0000062.2.</v>
      </c>
    </row>
    <row r="41" spans="1:14" x14ac:dyDescent="0.25">
      <c r="A41" s="280">
        <v>3</v>
      </c>
      <c r="B41" s="280" t="s">
        <v>478</v>
      </c>
      <c r="C41" s="285">
        <v>43998</v>
      </c>
      <c r="D41" s="285">
        <v>46979</v>
      </c>
      <c r="E41" s="285">
        <v>43998</v>
      </c>
      <c r="F41" s="285" t="s">
        <v>424</v>
      </c>
      <c r="G41" s="286">
        <v>0.75</v>
      </c>
      <c r="H41" s="286">
        <v>0</v>
      </c>
      <c r="I41" s="280" t="s">
        <v>569</v>
      </c>
      <c r="J41" s="280" t="s">
        <v>424</v>
      </c>
      <c r="N41" s="238" t="str">
        <f t="shared" si="0"/>
        <v>M_00.0006.0000063</v>
      </c>
    </row>
    <row r="42" spans="1:14" ht="141.75" x14ac:dyDescent="0.25">
      <c r="A42" s="281" t="s">
        <v>479</v>
      </c>
      <c r="B42" s="281" t="s">
        <v>480</v>
      </c>
      <c r="C42" s="285">
        <v>43998</v>
      </c>
      <c r="D42" s="285">
        <v>46874</v>
      </c>
      <c r="E42" s="285">
        <v>43998</v>
      </c>
      <c r="F42" s="285" t="s">
        <v>424</v>
      </c>
      <c r="G42" s="286" t="s">
        <v>597</v>
      </c>
      <c r="H42" s="286" t="s">
        <v>598</v>
      </c>
      <c r="I42" s="280" t="s">
        <v>570</v>
      </c>
      <c r="J42" s="281" t="s">
        <v>424</v>
      </c>
      <c r="N42" s="238" t="str">
        <f t="shared" si="0"/>
        <v>M_00.0006.0000063.1.</v>
      </c>
    </row>
    <row r="43" spans="1:14" ht="141.75" x14ac:dyDescent="0.25">
      <c r="A43" s="281" t="s">
        <v>481</v>
      </c>
      <c r="B43" s="281" t="s">
        <v>482</v>
      </c>
      <c r="C43" s="285">
        <v>43998</v>
      </c>
      <c r="D43" s="285">
        <v>46954</v>
      </c>
      <c r="E43" s="285">
        <v>43998</v>
      </c>
      <c r="F43" s="285" t="s">
        <v>424</v>
      </c>
      <c r="G43" s="286" t="s">
        <v>597</v>
      </c>
      <c r="H43" s="286" t="s">
        <v>598</v>
      </c>
      <c r="I43" s="280" t="s">
        <v>570</v>
      </c>
      <c r="J43" s="281" t="s">
        <v>424</v>
      </c>
      <c r="N43" s="238" t="str">
        <f t="shared" si="0"/>
        <v>M_00.0006.0000063.2.</v>
      </c>
    </row>
    <row r="44" spans="1:14" ht="141.75" x14ac:dyDescent="0.25">
      <c r="A44" s="281" t="s">
        <v>483</v>
      </c>
      <c r="B44" s="281" t="s">
        <v>484</v>
      </c>
      <c r="C44" s="285">
        <v>44301</v>
      </c>
      <c r="D44" s="285">
        <v>46964</v>
      </c>
      <c r="E44" s="285">
        <v>44301</v>
      </c>
      <c r="F44" s="285" t="s">
        <v>424</v>
      </c>
      <c r="G44" s="286" t="s">
        <v>597</v>
      </c>
      <c r="H44" s="286" t="s">
        <v>598</v>
      </c>
      <c r="I44" s="280" t="s">
        <v>570</v>
      </c>
      <c r="J44" s="281" t="s">
        <v>424</v>
      </c>
      <c r="N44" s="238" t="str">
        <f t="shared" si="0"/>
        <v>M_00.0006.0000063.3.</v>
      </c>
    </row>
    <row r="45" spans="1:14" ht="31.5" x14ac:dyDescent="0.25">
      <c r="A45" s="281" t="s">
        <v>485</v>
      </c>
      <c r="B45" s="281" t="s">
        <v>486</v>
      </c>
      <c r="C45" s="285" t="s">
        <v>424</v>
      </c>
      <c r="D45" s="285" t="s">
        <v>424</v>
      </c>
      <c r="E45" s="285" t="s">
        <v>424</v>
      </c>
      <c r="F45" s="285" t="s">
        <v>424</v>
      </c>
      <c r="G45" s="286" t="s">
        <v>424</v>
      </c>
      <c r="H45" s="286" t="s">
        <v>424</v>
      </c>
      <c r="I45" s="280" t="s">
        <v>517</v>
      </c>
      <c r="J45" s="281" t="s">
        <v>424</v>
      </c>
      <c r="N45" s="238" t="str">
        <f t="shared" si="0"/>
        <v>M_00.0006.0000063.4.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M_00.0006.0000063.5.</v>
      </c>
    </row>
    <row r="47" spans="1:14" ht="141.75" x14ac:dyDescent="0.25">
      <c r="A47" s="281" t="s">
        <v>489</v>
      </c>
      <c r="B47" s="281" t="s">
        <v>490</v>
      </c>
      <c r="C47" s="285" t="s">
        <v>424</v>
      </c>
      <c r="D47" s="285" t="s">
        <v>424</v>
      </c>
      <c r="E47" s="285">
        <v>44495</v>
      </c>
      <c r="F47" s="285" t="s">
        <v>424</v>
      </c>
      <c r="G47" s="286" t="s">
        <v>597</v>
      </c>
      <c r="H47" s="286" t="s">
        <v>598</v>
      </c>
      <c r="I47" s="280" t="s">
        <v>570</v>
      </c>
      <c r="J47" s="281" t="s">
        <v>424</v>
      </c>
      <c r="N47" s="238" t="str">
        <f t="shared" si="0"/>
        <v>M_00.0006.0000063.6.</v>
      </c>
    </row>
    <row r="48" spans="1:14" x14ac:dyDescent="0.25">
      <c r="A48" s="280">
        <v>4</v>
      </c>
      <c r="B48" s="280" t="s">
        <v>491</v>
      </c>
      <c r="C48" s="285">
        <v>44480</v>
      </c>
      <c r="D48" s="285">
        <v>47117</v>
      </c>
      <c r="E48" s="285">
        <v>44480</v>
      </c>
      <c r="F48" s="285" t="s">
        <v>424</v>
      </c>
      <c r="G48" s="286">
        <v>0.75</v>
      </c>
      <c r="H48" s="286">
        <v>0</v>
      </c>
      <c r="I48" s="280" t="s">
        <v>569</v>
      </c>
      <c r="J48" s="280" t="s">
        <v>424</v>
      </c>
      <c r="N48" s="238" t="str">
        <f t="shared" si="0"/>
        <v>M_00.0006.0000064</v>
      </c>
    </row>
    <row r="49" spans="1:14" ht="141.75" x14ac:dyDescent="0.25">
      <c r="A49" s="281" t="s">
        <v>492</v>
      </c>
      <c r="B49" s="281" t="s">
        <v>493</v>
      </c>
      <c r="C49" s="285">
        <v>44480</v>
      </c>
      <c r="D49" s="285">
        <v>47105</v>
      </c>
      <c r="E49" s="285">
        <v>44480</v>
      </c>
      <c r="F49" s="285" t="s">
        <v>424</v>
      </c>
      <c r="G49" s="286" t="s">
        <v>597</v>
      </c>
      <c r="H49" s="286" t="s">
        <v>598</v>
      </c>
      <c r="I49" s="280" t="s">
        <v>570</v>
      </c>
      <c r="J49" s="281" t="s">
        <v>424</v>
      </c>
      <c r="N49" s="238" t="str">
        <f t="shared" si="0"/>
        <v>M_00.0006.0000064.1.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M_00.0006.0000064.2.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M_00.0006.0000064.3.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M_00.0006.0000064.4.</v>
      </c>
    </row>
    <row r="53" spans="1:14" ht="141.75" x14ac:dyDescent="0.25">
      <c r="A53" s="281" t="s">
        <v>500</v>
      </c>
      <c r="B53" s="284" t="s">
        <v>501</v>
      </c>
      <c r="C53" s="285">
        <v>44560</v>
      </c>
      <c r="D53" s="285">
        <v>47117</v>
      </c>
      <c r="E53" s="285">
        <v>44560</v>
      </c>
      <c r="F53" s="285" t="s">
        <v>424</v>
      </c>
      <c r="G53" s="286" t="s">
        <v>597</v>
      </c>
      <c r="H53" s="286" t="s">
        <v>598</v>
      </c>
      <c r="I53" s="280" t="s">
        <v>570</v>
      </c>
      <c r="J53" s="281" t="s">
        <v>424</v>
      </c>
      <c r="N53" s="238" t="str">
        <f t="shared" si="0"/>
        <v>M_00.0006.0000064.5.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M_00.0006.0000064.6.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2025-11-11T08:11:36Z</dcterms:modified>
</cp:coreProperties>
</file>